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Work\Projects\Completed\Griffin DDR app-note\Rev 2\EE387v02\"/>
    </mc:Choice>
  </mc:AlternateContent>
  <bookViews>
    <workbookView xWindow="0" yWindow="0" windowWidth="15360" windowHeight="7155"/>
  </bookViews>
  <sheets>
    <sheet name="DDR3" sheetId="1" r:id="rId1"/>
    <sheet name="DDR2" sheetId="5" r:id="rId2"/>
    <sheet name="LPDDR" sheetId="6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6" l="1"/>
  <c r="D10" i="5"/>
  <c r="D10" i="1"/>
  <c r="B46" i="6" l="1"/>
  <c r="B57" i="5"/>
  <c r="E25" i="1"/>
  <c r="F25" i="1" s="1"/>
  <c r="AC59" i="1" s="1"/>
  <c r="D25" i="1"/>
  <c r="AH59" i="1" s="1"/>
  <c r="D26" i="1"/>
  <c r="AF59" i="1" l="1"/>
  <c r="AE59" i="1"/>
  <c r="AD59" i="1"/>
  <c r="D3" i="1"/>
  <c r="B58" i="1" l="1"/>
  <c r="B22" i="6"/>
  <c r="D18" i="6"/>
  <c r="D26" i="5"/>
  <c r="D27" i="1" l="1"/>
  <c r="E62" i="1" s="1"/>
  <c r="AF62" i="1" l="1"/>
  <c r="V62" i="1"/>
  <c r="P62" i="1"/>
  <c r="F62" i="1"/>
  <c r="AE62" i="1"/>
  <c r="Z62" i="1"/>
  <c r="T62" i="1"/>
  <c r="O62" i="1"/>
  <c r="J62" i="1"/>
  <c r="D62" i="1"/>
  <c r="AD62" i="1"/>
  <c r="X62" i="1"/>
  <c r="S62" i="1"/>
  <c r="N62" i="1"/>
  <c r="H62" i="1"/>
  <c r="C62" i="1"/>
  <c r="AA62" i="1"/>
  <c r="K62" i="1"/>
  <c r="AH62" i="1"/>
  <c r="AB62" i="1"/>
  <c r="W62" i="1"/>
  <c r="R62" i="1"/>
  <c r="L62" i="1"/>
  <c r="G62" i="1"/>
  <c r="AG62" i="1"/>
  <c r="AC62" i="1"/>
  <c r="Y62" i="1"/>
  <c r="U62" i="1"/>
  <c r="Q62" i="1"/>
  <c r="M62" i="1"/>
  <c r="I62" i="1"/>
  <c r="B61" i="1" l="1"/>
  <c r="D17" i="6" l="1"/>
  <c r="AH38" i="6" s="1"/>
  <c r="AH50" i="6"/>
  <c r="AG50" i="6"/>
  <c r="AF50" i="6"/>
  <c r="AE50" i="6"/>
  <c r="AD50" i="6"/>
  <c r="AC50" i="6"/>
  <c r="AB50" i="6"/>
  <c r="AA50" i="6"/>
  <c r="Z50" i="6"/>
  <c r="Y50" i="6"/>
  <c r="X50" i="6"/>
  <c r="W50" i="6"/>
  <c r="V50" i="6"/>
  <c r="U50" i="6"/>
  <c r="T50" i="6"/>
  <c r="S50" i="6"/>
  <c r="R50" i="6"/>
  <c r="Q50" i="6"/>
  <c r="P50" i="6"/>
  <c r="O50" i="6"/>
  <c r="N50" i="6"/>
  <c r="M50" i="6"/>
  <c r="L50" i="6"/>
  <c r="K50" i="6"/>
  <c r="J50" i="6"/>
  <c r="I50" i="6"/>
  <c r="H50" i="6"/>
  <c r="G50" i="6"/>
  <c r="F50" i="6"/>
  <c r="E50" i="6"/>
  <c r="D50" i="6"/>
  <c r="C50" i="6"/>
  <c r="B40" i="6"/>
  <c r="D16" i="6"/>
  <c r="AC38" i="6" s="1"/>
  <c r="D15" i="6"/>
  <c r="N35" i="6" s="1"/>
  <c r="Z35" i="6"/>
  <c r="D9" i="6"/>
  <c r="D29" i="6" s="1"/>
  <c r="H17" i="6"/>
  <c r="H16" i="6"/>
  <c r="H15" i="6"/>
  <c r="H14" i="6"/>
  <c r="H13" i="6"/>
  <c r="H12" i="6"/>
  <c r="D3" i="6"/>
  <c r="Y26" i="6" s="1"/>
  <c r="D2" i="6"/>
  <c r="D13" i="6" s="1"/>
  <c r="D21" i="5"/>
  <c r="AF49" i="5" s="1"/>
  <c r="D20" i="5"/>
  <c r="AG49" i="5" s="1"/>
  <c r="D19" i="5"/>
  <c r="AH46" i="5" s="1"/>
  <c r="D25" i="5"/>
  <c r="AE49" i="5" s="1"/>
  <c r="D12" i="6" l="1"/>
  <c r="E32" i="6" s="1"/>
  <c r="D5" i="6"/>
  <c r="AC29" i="6" s="1"/>
  <c r="D7" i="6"/>
  <c r="U29" i="6" s="1"/>
  <c r="AE32" i="6"/>
  <c r="D14" i="6"/>
  <c r="R35" i="6" s="1"/>
  <c r="D4" i="6"/>
  <c r="AG29" i="6" s="1"/>
  <c r="D6" i="6"/>
  <c r="Y29" i="6" s="1"/>
  <c r="AG35" i="6"/>
  <c r="AG38" i="6"/>
  <c r="AD38" i="6"/>
  <c r="AB38" i="6"/>
  <c r="B49" i="6"/>
  <c r="F29" i="6"/>
  <c r="X35" i="6"/>
  <c r="L35" i="6"/>
  <c r="V35" i="6"/>
  <c r="U35" i="6"/>
  <c r="S35" i="6"/>
  <c r="T35" i="6"/>
  <c r="W26" i="6"/>
  <c r="D8" i="6"/>
  <c r="D11" i="6"/>
  <c r="Z26" i="6"/>
  <c r="E29" i="6"/>
  <c r="F32" i="6"/>
  <c r="K35" i="6"/>
  <c r="W35" i="6"/>
  <c r="X26" i="6"/>
  <c r="C29" i="6"/>
  <c r="D32" i="6"/>
  <c r="M35" i="6"/>
  <c r="Y35" i="6"/>
  <c r="AF35" i="6"/>
  <c r="AC49" i="5"/>
  <c r="AD49" i="5"/>
  <c r="AB49" i="5"/>
  <c r="AG46" i="5"/>
  <c r="B30" i="5"/>
  <c r="AH61" i="5"/>
  <c r="AG61" i="5"/>
  <c r="AF61" i="5"/>
  <c r="AE61" i="5"/>
  <c r="AD61" i="5"/>
  <c r="AC61" i="5"/>
  <c r="AB61" i="5"/>
  <c r="AA61" i="5"/>
  <c r="Z61" i="5"/>
  <c r="Y61" i="5"/>
  <c r="X61" i="5"/>
  <c r="W61" i="5"/>
  <c r="V61" i="5"/>
  <c r="U61" i="5"/>
  <c r="T61" i="5"/>
  <c r="S61" i="5"/>
  <c r="R61" i="5"/>
  <c r="Q61" i="5"/>
  <c r="P61" i="5"/>
  <c r="O61" i="5"/>
  <c r="N61" i="5"/>
  <c r="M61" i="5"/>
  <c r="L61" i="5"/>
  <c r="K61" i="5"/>
  <c r="J61" i="5"/>
  <c r="I61" i="5"/>
  <c r="H61" i="5"/>
  <c r="G61" i="5"/>
  <c r="F61" i="5"/>
  <c r="E61" i="5"/>
  <c r="D61" i="5"/>
  <c r="C61" i="5"/>
  <c r="B51" i="5"/>
  <c r="D24" i="5"/>
  <c r="D23" i="5"/>
  <c r="D22" i="5"/>
  <c r="AE55" i="5" s="1"/>
  <c r="D18" i="5"/>
  <c r="D17" i="5"/>
  <c r="N43" i="5" s="1"/>
  <c r="D9" i="5"/>
  <c r="D37" i="5" s="1"/>
  <c r="J7" i="5"/>
  <c r="J6" i="5"/>
  <c r="J5" i="5"/>
  <c r="J4" i="5"/>
  <c r="D3" i="5"/>
  <c r="Y34" i="5" s="1"/>
  <c r="D2" i="5"/>
  <c r="D15" i="5" s="1"/>
  <c r="F15" i="5" s="1"/>
  <c r="AB29" i="6" l="1"/>
  <c r="AD29" i="6"/>
  <c r="AA29" i="6"/>
  <c r="O55" i="5"/>
  <c r="D14" i="5"/>
  <c r="Z43" i="5" s="1"/>
  <c r="W55" i="5"/>
  <c r="D5" i="5"/>
  <c r="AC37" i="5" s="1"/>
  <c r="D12" i="5"/>
  <c r="E40" i="5" s="1"/>
  <c r="AA32" i="6"/>
  <c r="W32" i="6"/>
  <c r="AH32" i="6"/>
  <c r="R29" i="6"/>
  <c r="T29" i="6"/>
  <c r="S29" i="6"/>
  <c r="AH29" i="6"/>
  <c r="AF29" i="6"/>
  <c r="AE29" i="6"/>
  <c r="B60" i="5"/>
  <c r="D4" i="5"/>
  <c r="AG37" i="5" s="1"/>
  <c r="D6" i="5"/>
  <c r="Y37" i="5" s="1"/>
  <c r="D16" i="5"/>
  <c r="R43" i="5" s="1"/>
  <c r="AE40" i="5"/>
  <c r="D7" i="5"/>
  <c r="U37" i="5" s="1"/>
  <c r="D13" i="5"/>
  <c r="AG43" i="5" s="1"/>
  <c r="Y55" i="5"/>
  <c r="AG55" i="5"/>
  <c r="Z32" i="6"/>
  <c r="AH35" i="6"/>
  <c r="AF32" i="6"/>
  <c r="AE35" i="6"/>
  <c r="U32" i="6"/>
  <c r="Q35" i="6"/>
  <c r="V32" i="6"/>
  <c r="X29" i="6"/>
  <c r="AD35" i="6"/>
  <c r="AB32" i="6"/>
  <c r="V29" i="6"/>
  <c r="W29" i="6"/>
  <c r="AC32" i="6"/>
  <c r="AG32" i="6"/>
  <c r="AD32" i="6"/>
  <c r="O35" i="6"/>
  <c r="X32" i="6"/>
  <c r="Z29" i="6"/>
  <c r="Y32" i="6"/>
  <c r="B37" i="6"/>
  <c r="P35" i="6"/>
  <c r="B25" i="6"/>
  <c r="Q32" i="6"/>
  <c r="M32" i="6"/>
  <c r="P32" i="6"/>
  <c r="L32" i="6"/>
  <c r="R32" i="6"/>
  <c r="N32" i="6"/>
  <c r="O32" i="6"/>
  <c r="K32" i="6"/>
  <c r="N29" i="6"/>
  <c r="J29" i="6"/>
  <c r="M29" i="6"/>
  <c r="I29" i="6"/>
  <c r="K29" i="6"/>
  <c r="L29" i="6"/>
  <c r="B43" i="6"/>
  <c r="Y46" i="5"/>
  <c r="X46" i="5"/>
  <c r="W46" i="5"/>
  <c r="AB46" i="5"/>
  <c r="AD46" i="5"/>
  <c r="AC46" i="5"/>
  <c r="AC55" i="5"/>
  <c r="U55" i="5"/>
  <c r="B48" i="5"/>
  <c r="F37" i="5"/>
  <c r="L43" i="5"/>
  <c r="V43" i="5"/>
  <c r="U43" i="5"/>
  <c r="S43" i="5"/>
  <c r="T43" i="5"/>
  <c r="M55" i="5"/>
  <c r="Q55" i="5"/>
  <c r="D8" i="5"/>
  <c r="D11" i="5"/>
  <c r="Z34" i="5"/>
  <c r="E37" i="5"/>
  <c r="K43" i="5"/>
  <c r="W43" i="5"/>
  <c r="L55" i="5"/>
  <c r="P55" i="5"/>
  <c r="T55" i="5"/>
  <c r="X55" i="5"/>
  <c r="AB55" i="5"/>
  <c r="AF55" i="5"/>
  <c r="X34" i="5"/>
  <c r="C37" i="5"/>
  <c r="M43" i="5"/>
  <c r="N55" i="5"/>
  <c r="R55" i="5"/>
  <c r="V55" i="5"/>
  <c r="Z55" i="5"/>
  <c r="AD55" i="5"/>
  <c r="AH55" i="5"/>
  <c r="W34" i="5"/>
  <c r="K55" i="5"/>
  <c r="S55" i="5"/>
  <c r="AA55" i="5"/>
  <c r="AD37" i="5" l="1"/>
  <c r="AB37" i="5"/>
  <c r="Y43" i="5"/>
  <c r="X43" i="5"/>
  <c r="D40" i="5"/>
  <c r="F40" i="5"/>
  <c r="AA37" i="5"/>
  <c r="AA40" i="5"/>
  <c r="B45" i="5"/>
  <c r="AD40" i="5"/>
  <c r="W40" i="5"/>
  <c r="AH43" i="5"/>
  <c r="AD43" i="5"/>
  <c r="AE43" i="5"/>
  <c r="V37" i="5"/>
  <c r="R37" i="5"/>
  <c r="X37" i="5"/>
  <c r="W37" i="5"/>
  <c r="Z37" i="5"/>
  <c r="AE37" i="5"/>
  <c r="AH37" i="5"/>
  <c r="AF37" i="5"/>
  <c r="P43" i="5"/>
  <c r="AH40" i="5"/>
  <c r="AB40" i="5"/>
  <c r="AF40" i="5"/>
  <c r="AG40" i="5"/>
  <c r="AC40" i="5"/>
  <c r="Z40" i="5"/>
  <c r="X40" i="5"/>
  <c r="U40" i="5"/>
  <c r="V40" i="5"/>
  <c r="Y40" i="5"/>
  <c r="Q43" i="5"/>
  <c r="T37" i="5"/>
  <c r="O43" i="5"/>
  <c r="S37" i="5"/>
  <c r="AF43" i="5"/>
  <c r="B34" i="6"/>
  <c r="B28" i="6"/>
  <c r="B31" i="6"/>
  <c r="N37" i="5"/>
  <c r="J37" i="5"/>
  <c r="M37" i="5"/>
  <c r="I37" i="5"/>
  <c r="K37" i="5"/>
  <c r="L37" i="5"/>
  <c r="B54" i="5"/>
  <c r="B33" i="5"/>
  <c r="Q40" i="5"/>
  <c r="M40" i="5"/>
  <c r="P40" i="5"/>
  <c r="L40" i="5"/>
  <c r="R40" i="5"/>
  <c r="N40" i="5"/>
  <c r="O40" i="5"/>
  <c r="K40" i="5"/>
  <c r="B42" i="5" l="1"/>
  <c r="B39" i="5"/>
  <c r="B36" i="5"/>
  <c r="AE50" i="1" l="1"/>
  <c r="AD50" i="1"/>
  <c r="D20" i="1"/>
  <c r="D21" i="1"/>
  <c r="Y50" i="1" l="1"/>
  <c r="AF50" i="1"/>
  <c r="AB50" i="1"/>
  <c r="AG50" i="1"/>
  <c r="AC50" i="1"/>
  <c r="D23" i="1" l="1"/>
  <c r="X56" i="1" s="1"/>
  <c r="D22" i="1"/>
  <c r="AF56" i="1" s="1"/>
  <c r="Z56" i="1" l="1"/>
  <c r="AG56" i="1"/>
  <c r="U56" i="1"/>
  <c r="V56" i="1"/>
  <c r="AC56" i="1"/>
  <c r="Y56" i="1"/>
  <c r="AD56" i="1"/>
  <c r="AH56" i="1"/>
  <c r="AE56" i="1"/>
  <c r="S56" i="1"/>
  <c r="W56" i="1"/>
  <c r="AA56" i="1"/>
  <c r="AB56" i="1"/>
  <c r="T56" i="1"/>
  <c r="H16" i="1" l="1"/>
  <c r="H15" i="1"/>
  <c r="H14" i="1"/>
  <c r="H13" i="1"/>
  <c r="H12" i="1"/>
  <c r="B31" i="1" l="1"/>
  <c r="D18" i="1" l="1"/>
  <c r="AD53" i="1" l="1"/>
  <c r="AC53" i="1"/>
  <c r="AE53" i="1"/>
  <c r="AD47" i="1"/>
  <c r="AC47" i="1"/>
  <c r="AB47" i="1"/>
  <c r="AF47" i="1"/>
  <c r="D24" i="1"/>
  <c r="L56" i="1" l="1"/>
  <c r="O56" i="1"/>
  <c r="K56" i="1"/>
  <c r="R56" i="1"/>
  <c r="N56" i="1"/>
  <c r="Q56" i="1"/>
  <c r="M56" i="1"/>
  <c r="P56" i="1"/>
  <c r="B52" i="1"/>
  <c r="Y35" i="1"/>
  <c r="D2" i="1"/>
  <c r="D15" i="1" s="1"/>
  <c r="F15" i="1" s="1"/>
  <c r="W47" i="1" l="1"/>
  <c r="Y47" i="1"/>
  <c r="X47" i="1"/>
  <c r="B55" i="1"/>
  <c r="D9" i="1"/>
  <c r="D5" i="1"/>
  <c r="D16" i="1"/>
  <c r="D13" i="1"/>
  <c r="D11" i="1"/>
  <c r="D8" i="1"/>
  <c r="D4" i="1"/>
  <c r="D7" i="1"/>
  <c r="D6" i="1"/>
  <c r="D17" i="1"/>
  <c r="D14" i="1"/>
  <c r="D12" i="1"/>
  <c r="X35" i="1"/>
  <c r="Z35" i="1"/>
  <c r="W35" i="1"/>
  <c r="B34" i="1" l="1"/>
  <c r="E38" i="1"/>
  <c r="C38" i="1"/>
  <c r="F38" i="1"/>
  <c r="D38" i="1"/>
  <c r="AD44" i="1"/>
  <c r="AF44" i="1"/>
  <c r="AE44" i="1"/>
  <c r="AG44" i="1"/>
  <c r="N44" i="1"/>
  <c r="L44" i="1"/>
  <c r="M44" i="1"/>
  <c r="K44" i="1"/>
  <c r="X38" i="1"/>
  <c r="Z38" i="1"/>
  <c r="Y38" i="1"/>
  <c r="W38" i="1"/>
  <c r="W44" i="1"/>
  <c r="X44" i="1"/>
  <c r="Z44" i="1"/>
  <c r="Y44" i="1"/>
  <c r="U38" i="1"/>
  <c r="S38" i="1"/>
  <c r="R38" i="1"/>
  <c r="T38" i="1"/>
  <c r="V38" i="1"/>
  <c r="P41" i="1"/>
  <c r="R41" i="1"/>
  <c r="M41" i="1"/>
  <c r="K41" i="1"/>
  <c r="N41" i="1"/>
  <c r="O41" i="1"/>
  <c r="Q41" i="1"/>
  <c r="L41" i="1"/>
  <c r="S44" i="1"/>
  <c r="U44" i="1"/>
  <c r="T44" i="1"/>
  <c r="V44" i="1"/>
  <c r="D41" i="1"/>
  <c r="E41" i="1"/>
  <c r="F41" i="1"/>
  <c r="AD41" i="1"/>
  <c r="Z41" i="1"/>
  <c r="AE41" i="1"/>
  <c r="AF41" i="1"/>
  <c r="AC41" i="1"/>
  <c r="W41" i="1"/>
  <c r="Y41" i="1"/>
  <c r="U41" i="1"/>
  <c r="V41" i="1"/>
  <c r="AB41" i="1"/>
  <c r="X41" i="1"/>
  <c r="AA41" i="1"/>
  <c r="AG41" i="1"/>
  <c r="L38" i="1"/>
  <c r="I38" i="1"/>
  <c r="N38" i="1"/>
  <c r="J38" i="1"/>
  <c r="M38" i="1"/>
  <c r="K38" i="1"/>
  <c r="O44" i="1"/>
  <c r="Q44" i="1"/>
  <c r="R44" i="1"/>
  <c r="P44" i="1"/>
  <c r="AH44" i="1"/>
  <c r="AH41" i="1"/>
  <c r="AC38" i="1"/>
  <c r="B43" i="1" l="1"/>
  <c r="B46" i="1"/>
  <c r="B40" i="1"/>
  <c r="AD38" i="1"/>
  <c r="AB38" i="1"/>
  <c r="AA38" i="1"/>
  <c r="AG38" i="1"/>
  <c r="AF38" i="1"/>
  <c r="AE38" i="1"/>
  <c r="AH38" i="1"/>
  <c r="B37" i="1" l="1"/>
  <c r="B49" i="1"/>
</calcChain>
</file>

<file path=xl/sharedStrings.xml><?xml version="1.0" encoding="utf-8"?>
<sst xmlns="http://schemas.openxmlformats.org/spreadsheetml/2006/main" count="503" uniqueCount="138">
  <si>
    <t>Parameter</t>
  </si>
  <si>
    <t>Value</t>
  </si>
  <si>
    <t>Unit</t>
  </si>
  <si>
    <t>MHz</t>
  </si>
  <si>
    <t>ns</t>
  </si>
  <si>
    <t>CL</t>
  </si>
  <si>
    <t>tCK</t>
  </si>
  <si>
    <t>AL</t>
  </si>
  <si>
    <t>tFAW</t>
  </si>
  <si>
    <t>tRTP</t>
  </si>
  <si>
    <t>tWR</t>
  </si>
  <si>
    <t>tXP</t>
  </si>
  <si>
    <t>tCKE</t>
  </si>
  <si>
    <t>tREF</t>
  </si>
  <si>
    <t>tRFC</t>
  </si>
  <si>
    <t>tRRD</t>
  </si>
  <si>
    <t>tRCD</t>
  </si>
  <si>
    <t>tWTR</t>
  </si>
  <si>
    <t>tRP</t>
  </si>
  <si>
    <t>tRAS</t>
  </si>
  <si>
    <t>tRC</t>
  </si>
  <si>
    <t>tMRD</t>
  </si>
  <si>
    <t>CWL</t>
  </si>
  <si>
    <t>Register  name</t>
  </si>
  <si>
    <t>32 Bit Hex Value</t>
  </si>
  <si>
    <t>DMC_CTL</t>
  </si>
  <si>
    <t>Reserved</t>
  </si>
  <si>
    <t>ZQCL</t>
  </si>
  <si>
    <t>ZQCS</t>
  </si>
  <si>
    <t>DLLCAL</t>
  </si>
  <si>
    <t>PPREF</t>
  </si>
  <si>
    <t>RDTOWR</t>
  </si>
  <si>
    <t>ADDRMODE</t>
  </si>
  <si>
    <t>RESET</t>
  </si>
  <si>
    <t>PREC</t>
  </si>
  <si>
    <t>DPD_REQ</t>
  </si>
  <si>
    <t>PD_REQ</t>
  </si>
  <si>
    <t>SR_REQ</t>
  </si>
  <si>
    <t>INIT</t>
  </si>
  <si>
    <t>LPDDREN</t>
  </si>
  <si>
    <t>DDR3EN</t>
  </si>
  <si>
    <t>DMC_CFG</t>
  </si>
  <si>
    <t>EXTBANK</t>
  </si>
  <si>
    <t>SDRSIZE</t>
  </si>
  <si>
    <t>SDRWID</t>
  </si>
  <si>
    <t>IFWID</t>
  </si>
  <si>
    <t>DMC_TR0</t>
  </si>
  <si>
    <t>DMC_TR1</t>
  </si>
  <si>
    <t>DMC_TR2</t>
  </si>
  <si>
    <t>PD</t>
  </si>
  <si>
    <t>WRRECOV</t>
  </si>
  <si>
    <t>DLLRST</t>
  </si>
  <si>
    <t>CL0</t>
  </si>
  <si>
    <t>BLEN</t>
  </si>
  <si>
    <t>QOFF</t>
  </si>
  <si>
    <t>TDQS</t>
  </si>
  <si>
    <t>DIC1</t>
  </si>
  <si>
    <t>DIC0</t>
  </si>
  <si>
    <t>DLLEN</t>
  </si>
  <si>
    <t>SRT</t>
  </si>
  <si>
    <t>ASR</t>
  </si>
  <si>
    <t>DMC_PADCTL2</t>
  </si>
  <si>
    <t>IMPRTT</t>
  </si>
  <si>
    <t>IMPWRDQ</t>
  </si>
  <si>
    <t>IMPWRAD</t>
  </si>
  <si>
    <t>RTT2</t>
  </si>
  <si>
    <t>RTT1</t>
  </si>
  <si>
    <t>RTT0</t>
  </si>
  <si>
    <t>SDRAM Size</t>
  </si>
  <si>
    <t>Burst Length</t>
  </si>
  <si>
    <t>CAS Write Latency (CWL)</t>
  </si>
  <si>
    <t>CAS Read Latency (CL)</t>
  </si>
  <si>
    <t>Driver Impedance (Processor-Addess/Command)</t>
  </si>
  <si>
    <t>Driver Impedance (Processor-Data/DQS/CLK/DM)</t>
  </si>
  <si>
    <t>Ohms</t>
  </si>
  <si>
    <t>PASR</t>
  </si>
  <si>
    <t>RTTWR</t>
  </si>
  <si>
    <t>MB</t>
  </si>
  <si>
    <t>LPDDR_MODE</t>
  </si>
  <si>
    <t>DDR2_MODE</t>
  </si>
  <si>
    <t>DDR3_MODE</t>
  </si>
  <si>
    <t>DQS</t>
  </si>
  <si>
    <t>DIC</t>
  </si>
  <si>
    <t>SRF</t>
  </si>
  <si>
    <t>DS</t>
  </si>
  <si>
    <t>TCSR</t>
  </si>
  <si>
    <t>DMC_DT_CALIB_ADDR</t>
  </si>
  <si>
    <t>Select from the list</t>
  </si>
  <si>
    <t>Data calibration adrress</t>
  </si>
  <si>
    <t>On Die Termination (Processor)</t>
  </si>
  <si>
    <t>DIC (DDR3)</t>
  </si>
  <si>
    <t>ODT (DDR3)</t>
  </si>
  <si>
    <t>RZQ/4</t>
  </si>
  <si>
    <t>RZQ/2</t>
  </si>
  <si>
    <t>CAS LATENCY (DDR3)</t>
  </si>
  <si>
    <t>Write Recov(DDR3)</t>
  </si>
  <si>
    <t>AL (DDR3)</t>
  </si>
  <si>
    <t>AL Disable</t>
  </si>
  <si>
    <t>CL-1</t>
  </si>
  <si>
    <t>CL-2</t>
  </si>
  <si>
    <t>CAS LATENCY (LPDDR)</t>
  </si>
  <si>
    <t>CAS LATENCY (DDR2)</t>
  </si>
  <si>
    <t>AL (DDR2)</t>
  </si>
  <si>
    <t>BURST LENGTH (LPDDDR)</t>
  </si>
  <si>
    <t>BURST LENGTH (DDR2)</t>
  </si>
  <si>
    <t>DIC (DDR2)</t>
  </si>
  <si>
    <t>ODT (DDR2)</t>
  </si>
  <si>
    <t>Write Recov(DDR2)</t>
  </si>
  <si>
    <t>Full Strength</t>
  </si>
  <si>
    <t>Reduced Strength</t>
  </si>
  <si>
    <t xml:space="preserve">DMC_MR </t>
  </si>
  <si>
    <t xml:space="preserve">DMC_EMR2 </t>
  </si>
  <si>
    <t xml:space="preserve">DMC_EMR1 </t>
  </si>
  <si>
    <t>DMC_EMR</t>
  </si>
  <si>
    <t>ODT Disabled</t>
  </si>
  <si>
    <t>DCLK</t>
  </si>
  <si>
    <t>Hex</t>
  </si>
  <si>
    <t>DPDREQ</t>
  </si>
  <si>
    <t>PDREQ</t>
  </si>
  <si>
    <t>SRREQ</t>
  </si>
  <si>
    <t>LPDDR</t>
  </si>
  <si>
    <t>On Die Termination (Memory)</t>
  </si>
  <si>
    <t xml:space="preserve">Additive Latency (AL) </t>
  </si>
  <si>
    <t>Driver Impedance (Memory)</t>
  </si>
  <si>
    <t>tREFI</t>
  </si>
  <si>
    <t>RZQ/6(40)</t>
  </si>
  <si>
    <t>RZQ/7(34)</t>
  </si>
  <si>
    <t>RZQ/4(60)</t>
  </si>
  <si>
    <t>RZQ/2(120)</t>
  </si>
  <si>
    <t>RZQ/12(20)</t>
  </si>
  <si>
    <t>RZQ/8(30)</t>
  </si>
  <si>
    <t>AL Disabled</t>
  </si>
  <si>
    <t xml:space="preserve">DMC_MR0 </t>
  </si>
  <si>
    <t xml:space="preserve">DMC_MR1 </t>
  </si>
  <si>
    <t xml:space="preserve">DMC_MR2 </t>
  </si>
  <si>
    <t>DMC_CPHY_CTL</t>
  </si>
  <si>
    <t>CWL+AL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</si>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</sst>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2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2"/>
      </left>
      <right/>
      <top style="medium">
        <color indexed="64"/>
      </top>
      <bottom style="medium">
        <color indexed="64"/>
      </bottom>
      <diagonal/>
    </border>
    <border>
      <left style="thin">
        <color theme="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theme="2"/>
      </left>
      <right style="thin">
        <color theme="2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2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medium">
        <color indexed="64"/>
      </bottom>
      <diagonal/>
    </border>
    <border>
      <left style="thin">
        <color theme="2"/>
      </left>
      <right style="thin">
        <color theme="2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4.9989318521683403E-2"/>
      </right>
      <top style="medium">
        <color indexed="64"/>
      </top>
      <bottom style="medium">
        <color indexed="64"/>
      </bottom>
      <diagonal/>
    </border>
    <border>
      <left style="thin">
        <color theme="0" tint="-4.9989318521683403E-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2" tint="-9.9978637043366805E-2"/>
      </left>
      <right/>
      <top/>
      <bottom/>
      <diagonal/>
    </border>
    <border>
      <left/>
      <right/>
      <top style="thin">
        <color theme="2" tint="-9.9978637043366805E-2"/>
      </top>
      <bottom/>
      <diagonal/>
    </border>
    <border>
      <left style="medium">
        <color indexed="64"/>
      </left>
      <right style="thin">
        <color theme="2" tint="-9.9978637043366805E-2"/>
      </right>
      <top style="medium">
        <color indexed="64"/>
      </top>
      <bottom style="medium">
        <color indexed="64"/>
      </bottom>
      <diagonal/>
    </border>
    <border>
      <left style="thin">
        <color theme="2" tint="-9.9978637043366805E-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2" tint="-9.9978637043366805E-2"/>
      </left>
      <right style="thin">
        <color theme="2" tint="-9.9978637043366805E-2"/>
      </right>
      <top/>
      <bottom/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/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/>
      <right style="thin">
        <color theme="2" tint="-9.9978637043366805E-2"/>
      </right>
      <top/>
      <bottom/>
      <diagonal/>
    </border>
    <border>
      <left/>
      <right/>
      <top/>
      <bottom style="thin">
        <color theme="2" tint="-9.9978637043366805E-2"/>
      </bottom>
      <diagonal/>
    </border>
    <border>
      <left style="medium">
        <color indexed="64"/>
      </left>
      <right style="thin">
        <color theme="2" tint="-9.9978637043366805E-2"/>
      </right>
      <top/>
      <bottom style="medium">
        <color indexed="64"/>
      </bottom>
      <diagonal/>
    </border>
    <border>
      <left style="thin">
        <color theme="2" tint="-9.9978637043366805E-2"/>
      </left>
      <right style="thin">
        <color theme="2" tint="-9.9978637043366805E-2"/>
      </right>
      <top/>
      <bottom style="medium">
        <color indexed="64"/>
      </bottom>
      <diagonal/>
    </border>
    <border>
      <left style="thin">
        <color theme="2" tint="-9.9978637043366805E-2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theme="2" tint="-9.9978637043366805E-2"/>
      </right>
      <top style="thin">
        <color theme="2" tint="-9.9978637043366805E-2"/>
      </top>
      <bottom/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2" tint="-9.9978637043366805E-2"/>
      </left>
      <right/>
      <top style="thin">
        <color theme="2" tint="-9.9978637043366805E-2"/>
      </top>
      <bottom style="thin">
        <color theme="2" tint="-9.9978637043366805E-2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medium">
        <color indexed="64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medium">
        <color indexed="64"/>
      </top>
      <bottom style="thin">
        <color theme="0" tint="-0.14999847407452621"/>
      </bottom>
      <diagonal/>
    </border>
    <border>
      <left/>
      <right/>
      <top/>
      <bottom style="thin">
        <color theme="0" tint="-0.249977111117893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</borders>
  <cellStyleXfs count="1">
    <xf numFmtId="0" fontId="0" fillId="0" borderId="0"/>
  </cellStyleXfs>
  <cellXfs count="269">
    <xf numFmtId="0" fontId="0" fillId="0" borderId="0" xfId="0"/>
    <xf numFmtId="0" fontId="5" fillId="6" borderId="2" xfId="0" applyFont="1" applyFill="1" applyBorder="1" applyAlignment="1" applyProtection="1">
      <alignment horizontal="center" vertical="center"/>
    </xf>
    <xf numFmtId="0" fontId="1" fillId="6" borderId="2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11" xfId="0" applyFont="1" applyFill="1" applyBorder="1" applyAlignment="1" applyProtection="1">
      <alignment horizontal="center" vertical="center"/>
    </xf>
    <xf numFmtId="0" fontId="4" fillId="0" borderId="16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12" xfId="0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 applyProtection="1">
      <alignment horizontal="center" vertical="center"/>
    </xf>
    <xf numFmtId="0" fontId="0" fillId="0" borderId="11" xfId="0" applyFill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center" vertical="center"/>
    </xf>
    <xf numFmtId="0" fontId="0" fillId="0" borderId="13" xfId="0" applyFill="1" applyBorder="1" applyAlignment="1" applyProtection="1">
      <alignment horizontal="center" vertical="center"/>
    </xf>
    <xf numFmtId="0" fontId="0" fillId="0" borderId="16" xfId="0" applyFill="1" applyBorder="1" applyAlignment="1" applyProtection="1">
      <alignment horizontal="center" vertical="center"/>
    </xf>
    <xf numFmtId="0" fontId="0" fillId="0" borderId="17" xfId="0" applyFill="1" applyBorder="1" applyAlignment="1" applyProtection="1">
      <alignment horizontal="center" vertical="center"/>
    </xf>
    <xf numFmtId="0" fontId="0" fillId="0" borderId="15" xfId="0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center" vertical="center"/>
    </xf>
    <xf numFmtId="0" fontId="0" fillId="0" borderId="20" xfId="0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/>
    </xf>
    <xf numFmtId="0" fontId="0" fillId="0" borderId="15" xfId="0" applyBorder="1" applyAlignment="1" applyProtection="1">
      <alignment horizontal="center" vertical="center"/>
    </xf>
    <xf numFmtId="0" fontId="0" fillId="0" borderId="24" xfId="0" applyBorder="1" applyAlignment="1" applyProtection="1">
      <alignment horizontal="center" vertical="center"/>
    </xf>
    <xf numFmtId="0" fontId="0" fillId="0" borderId="25" xfId="0" applyBorder="1" applyAlignment="1" applyProtection="1">
      <alignment horizontal="center" vertical="center"/>
    </xf>
    <xf numFmtId="0" fontId="0" fillId="0" borderId="26" xfId="0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1" fillId="4" borderId="2" xfId="0" applyFont="1" applyFill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11" fillId="2" borderId="38" xfId="0" applyFont="1" applyFill="1" applyBorder="1" applyAlignment="1" applyProtection="1">
      <alignment horizontal="center" vertical="center" wrapText="1"/>
    </xf>
    <xf numFmtId="0" fontId="10" fillId="2" borderId="37" xfId="0" applyFont="1" applyFill="1" applyBorder="1" applyAlignment="1" applyProtection="1">
      <alignment horizontal="center" vertical="center" wrapText="1"/>
    </xf>
    <xf numFmtId="0" fontId="11" fillId="0" borderId="38" xfId="0" applyFont="1" applyBorder="1" applyAlignment="1" applyProtection="1">
      <alignment horizontal="center" vertical="center" wrapText="1"/>
    </xf>
    <xf numFmtId="0" fontId="10" fillId="0" borderId="37" xfId="0" applyFont="1" applyBorder="1" applyAlignment="1" applyProtection="1">
      <alignment horizontal="center" vertical="center" wrapText="1"/>
    </xf>
    <xf numFmtId="0" fontId="11" fillId="0" borderId="37" xfId="0" applyFont="1" applyBorder="1" applyAlignment="1" applyProtection="1">
      <alignment horizontal="center" vertical="center"/>
    </xf>
    <xf numFmtId="0" fontId="12" fillId="0" borderId="37" xfId="0" applyFont="1" applyBorder="1" applyAlignment="1" applyProtection="1">
      <alignment horizontal="center" vertical="center"/>
    </xf>
    <xf numFmtId="0" fontId="11" fillId="0" borderId="37" xfId="0" applyFont="1" applyBorder="1" applyAlignment="1" applyProtection="1">
      <alignment horizontal="center" vertical="center" wrapText="1"/>
    </xf>
    <xf numFmtId="0" fontId="13" fillId="0" borderId="37" xfId="0" applyFont="1" applyBorder="1" applyAlignment="1" applyProtection="1">
      <alignment horizontal="center" vertical="center"/>
    </xf>
    <xf numFmtId="0" fontId="11" fillId="0" borderId="37" xfId="0" applyFont="1" applyFill="1" applyBorder="1" applyAlignment="1" applyProtection="1">
      <alignment horizontal="center" vertical="center" wrapText="1"/>
    </xf>
    <xf numFmtId="0" fontId="4" fillId="2" borderId="41" xfId="0" applyFont="1" applyFill="1" applyBorder="1" applyAlignment="1" applyProtection="1">
      <alignment horizontal="center" vertical="center"/>
    </xf>
    <xf numFmtId="0" fontId="4" fillId="2" borderId="42" xfId="0" applyFont="1" applyFill="1" applyBorder="1" applyAlignment="1" applyProtection="1">
      <alignment horizontal="center" vertical="center"/>
    </xf>
    <xf numFmtId="0" fontId="4" fillId="2" borderId="43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5" borderId="2" xfId="0" applyFont="1" applyFill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/>
    </xf>
    <xf numFmtId="0" fontId="0" fillId="0" borderId="34" xfId="0" applyFill="1" applyBorder="1" applyAlignment="1" applyProtection="1">
      <alignment horizontal="center" vertical="center"/>
    </xf>
    <xf numFmtId="0" fontId="0" fillId="0" borderId="35" xfId="0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20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/>
    </xf>
    <xf numFmtId="0" fontId="1" fillId="8" borderId="1" xfId="0" applyFont="1" applyFill="1" applyBorder="1" applyAlignment="1" applyProtection="1">
      <alignment horizontal="center" vertical="center" wrapText="1"/>
      <protection locked="0"/>
    </xf>
    <xf numFmtId="0" fontId="0" fillId="8" borderId="1" xfId="0" applyFill="1" applyBorder="1" applyAlignment="1" applyProtection="1">
      <alignment horizontal="center" vertical="center" wrapText="1"/>
      <protection locked="0"/>
    </xf>
    <xf numFmtId="0" fontId="1" fillId="10" borderId="1" xfId="0" applyFont="1" applyFill="1" applyBorder="1" applyAlignment="1" applyProtection="1">
      <alignment horizontal="center" vertical="center" wrapText="1"/>
      <protection locked="0"/>
    </xf>
    <xf numFmtId="0" fontId="11" fillId="0" borderId="38" xfId="0" applyFont="1" applyBorder="1" applyAlignment="1" applyProtection="1">
      <alignment horizontal="center" vertical="center"/>
    </xf>
    <xf numFmtId="0" fontId="10" fillId="0" borderId="37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  <protection locked="0"/>
    </xf>
    <xf numFmtId="0" fontId="5" fillId="6" borderId="2" xfId="0" applyFont="1" applyFill="1" applyBorder="1" applyAlignment="1" applyProtection="1">
      <alignment horizontal="center" vertical="center" wrapText="1"/>
    </xf>
    <xf numFmtId="0" fontId="1" fillId="6" borderId="2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16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4" fillId="0" borderId="17" xfId="0" applyFont="1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0" fillId="2" borderId="0" xfId="0" applyFill="1" applyBorder="1" applyAlignment="1" applyProtection="1">
      <alignment horizontal="center" vertical="center" wrapText="1"/>
    </xf>
    <xf numFmtId="0" fontId="0" fillId="0" borderId="20" xfId="0" applyBorder="1" applyAlignment="1" applyProtection="1">
      <alignment horizontal="center" vertical="center" wrapText="1"/>
    </xf>
    <xf numFmtId="0" fontId="1" fillId="5" borderId="2" xfId="0" applyFont="1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6" fillId="0" borderId="14" xfId="0" applyFont="1" applyFill="1" applyBorder="1" applyAlignment="1" applyProtection="1">
      <alignment horizontal="center" vertical="center" wrapText="1"/>
    </xf>
    <xf numFmtId="0" fontId="4" fillId="2" borderId="30" xfId="0" applyFont="1" applyFill="1" applyBorder="1" applyAlignment="1" applyProtection="1">
      <alignment horizontal="center" vertical="center" wrapText="1"/>
    </xf>
    <xf numFmtId="0" fontId="4" fillId="2" borderId="15" xfId="0" applyFont="1" applyFill="1" applyBorder="1" applyAlignment="1" applyProtection="1">
      <alignment horizontal="center" vertical="center" wrapText="1"/>
    </xf>
    <xf numFmtId="0" fontId="4" fillId="2" borderId="31" xfId="0" applyFont="1" applyFill="1" applyBorder="1" applyAlignment="1" applyProtection="1">
      <alignment horizontal="center" vertical="center" wrapText="1"/>
    </xf>
    <xf numFmtId="0" fontId="7" fillId="2" borderId="36" xfId="0" applyFont="1" applyFill="1" applyBorder="1" applyAlignment="1" applyProtection="1">
      <alignment horizontal="center" vertical="center" wrapText="1"/>
    </xf>
    <xf numFmtId="0" fontId="6" fillId="2" borderId="36" xfId="0" applyFont="1" applyFill="1" applyBorder="1" applyAlignment="1" applyProtection="1">
      <alignment horizontal="center" vertical="center" wrapText="1"/>
    </xf>
    <xf numFmtId="0" fontId="4" fillId="2" borderId="36" xfId="0" applyFont="1" applyFill="1" applyBorder="1" applyAlignment="1" applyProtection="1">
      <alignment horizontal="center" vertical="center" wrapText="1"/>
    </xf>
    <xf numFmtId="0" fontId="0" fillId="0" borderId="24" xfId="0" applyBorder="1" applyAlignment="1" applyProtection="1">
      <alignment horizontal="center" vertical="center" wrapText="1"/>
    </xf>
    <xf numFmtId="0" fontId="0" fillId="0" borderId="25" xfId="0" applyBorder="1" applyAlignment="1" applyProtection="1">
      <alignment horizontal="center" vertical="center" wrapText="1"/>
    </xf>
    <xf numFmtId="0" fontId="0" fillId="0" borderId="26" xfId="0" applyBorder="1" applyAlignment="1" applyProtection="1">
      <alignment horizontal="center" vertical="center" wrapText="1"/>
    </xf>
    <xf numFmtId="0" fontId="1" fillId="0" borderId="20" xfId="0" applyFont="1" applyFill="1" applyBorder="1" applyAlignment="1" applyProtection="1">
      <alignment horizontal="center" vertical="center" wrapText="1"/>
      <protection locked="0"/>
    </xf>
    <xf numFmtId="0" fontId="1" fillId="0" borderId="36" xfId="0" applyFont="1" applyFill="1" applyBorder="1" applyAlignment="1" applyProtection="1">
      <alignment horizontal="center" vertical="center" wrapText="1"/>
      <protection locked="0"/>
    </xf>
    <xf numFmtId="0" fontId="10" fillId="0" borderId="38" xfId="0" applyFont="1" applyBorder="1" applyAlignment="1" applyProtection="1">
      <alignment horizontal="center" vertical="center" wrapText="1"/>
    </xf>
    <xf numFmtId="0" fontId="10" fillId="0" borderId="39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center" wrapText="1"/>
    </xf>
    <xf numFmtId="0" fontId="10" fillId="0" borderId="33" xfId="0" applyFont="1" applyBorder="1" applyAlignment="1" applyProtection="1">
      <alignment horizontal="center" vertical="center" wrapText="1"/>
    </xf>
    <xf numFmtId="0" fontId="10" fillId="0" borderId="40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  <protection locked="0"/>
    </xf>
    <xf numFmtId="0" fontId="11" fillId="0" borderId="33" xfId="0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vertical="center" wrapText="1"/>
    </xf>
    <xf numFmtId="0" fontId="11" fillId="0" borderId="32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0" fontId="2" fillId="4" borderId="2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center" vertic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0" fillId="8" borderId="1" xfId="0" applyFont="1" applyFill="1" applyBorder="1" applyAlignment="1" applyProtection="1">
      <alignment horizontal="center" vertical="center" wrapText="1"/>
      <protection locked="0"/>
    </xf>
    <xf numFmtId="0" fontId="1" fillId="10" borderId="1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2" fillId="4" borderId="2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0" fillId="0" borderId="20" xfId="0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33" xfId="0" applyFill="1" applyBorder="1" applyAlignment="1" applyProtection="1">
      <alignment horizontal="center" vertical="center"/>
      <protection locked="0"/>
    </xf>
    <xf numFmtId="0" fontId="0" fillId="0" borderId="32" xfId="0" applyBorder="1" applyAlignment="1" applyProtection="1">
      <alignment horizontal="center" vertical="center"/>
      <protection locked="0"/>
    </xf>
    <xf numFmtId="0" fontId="0" fillId="8" borderId="1" xfId="0" applyFont="1" applyFill="1" applyBorder="1" applyAlignment="1" applyProtection="1">
      <alignment horizontal="center" vertical="center"/>
      <protection locked="0"/>
    </xf>
    <xf numFmtId="0" fontId="4" fillId="0" borderId="37" xfId="0" applyFont="1" applyBorder="1" applyAlignment="1" applyProtection="1">
      <alignment horizontal="center" vertical="center"/>
    </xf>
    <xf numFmtId="0" fontId="0" fillId="8" borderId="1" xfId="0" applyFill="1" applyBorder="1" applyAlignment="1" applyProtection="1">
      <alignment horizontal="center" vertical="center"/>
      <protection locked="0"/>
    </xf>
    <xf numFmtId="0" fontId="0" fillId="0" borderId="20" xfId="0" applyFill="1" applyBorder="1" applyAlignment="1" applyProtection="1">
      <alignment horizontal="center" vertical="center"/>
      <protection locked="0"/>
    </xf>
    <xf numFmtId="0" fontId="11" fillId="0" borderId="44" xfId="0" applyFont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" fillId="10" borderId="1" xfId="0" applyFont="1" applyFill="1" applyBorder="1" applyAlignment="1" applyProtection="1">
      <alignment horizontal="center" vertical="center" wrapText="1"/>
    </xf>
    <xf numFmtId="0" fontId="15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vertical="center" wrapText="1"/>
      <protection locked="0"/>
    </xf>
    <xf numFmtId="0" fontId="11" fillId="0" borderId="47" xfId="0" applyFont="1" applyBorder="1" applyAlignment="1" applyProtection="1">
      <alignment horizontal="center" vertical="center" wrapText="1"/>
    </xf>
    <xf numFmtId="0" fontId="4" fillId="0" borderId="49" xfId="0" applyFont="1" applyFill="1" applyBorder="1" applyAlignment="1" applyProtection="1">
      <alignment horizontal="center" vertical="center" wrapText="1"/>
    </xf>
    <xf numFmtId="0" fontId="1" fillId="5" borderId="50" xfId="0" applyFont="1" applyFill="1" applyBorder="1" applyAlignment="1" applyProtection="1">
      <alignment vertical="center" wrapText="1"/>
    </xf>
    <xf numFmtId="0" fontId="4" fillId="0" borderId="51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11" fillId="2" borderId="47" xfId="0" applyFont="1" applyFill="1" applyBorder="1" applyAlignment="1" applyProtection="1">
      <alignment horizontal="center" vertical="center" wrapText="1"/>
    </xf>
    <xf numFmtId="0" fontId="11" fillId="2" borderId="52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/>
    </xf>
    <xf numFmtId="0" fontId="1" fillId="2" borderId="53" xfId="0" applyFont="1" applyFill="1" applyBorder="1" applyAlignment="1" applyProtection="1">
      <alignment horizontal="center" vertical="center"/>
      <protection locked="0"/>
    </xf>
    <xf numFmtId="0" fontId="1" fillId="2" borderId="54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10" fillId="2" borderId="56" xfId="0" applyFont="1" applyFill="1" applyBorder="1" applyAlignment="1" applyProtection="1">
      <alignment horizontal="center" vertical="center"/>
    </xf>
    <xf numFmtId="0" fontId="1" fillId="5" borderId="48" xfId="0" applyFont="1" applyFill="1" applyBorder="1" applyAlignment="1" applyProtection="1">
      <alignment vertical="center" wrapText="1"/>
    </xf>
    <xf numFmtId="0" fontId="5" fillId="5" borderId="2" xfId="0" applyFont="1" applyFill="1" applyBorder="1" applyAlignment="1" applyProtection="1">
      <alignment horizontal="center" vertical="center"/>
    </xf>
    <xf numFmtId="0" fontId="5" fillId="4" borderId="46" xfId="0" applyFont="1" applyFill="1" applyBorder="1" applyAlignment="1" applyProtection="1">
      <alignment horizontal="center" vertical="center" wrapText="1"/>
      <protection locked="0"/>
    </xf>
    <xf numFmtId="0" fontId="5" fillId="9" borderId="46" xfId="0" applyFont="1" applyFill="1" applyBorder="1" applyAlignment="1" applyProtection="1">
      <alignment horizontal="center" vertical="center" wrapText="1"/>
      <protection locked="0"/>
    </xf>
    <xf numFmtId="0" fontId="4" fillId="2" borderId="38" xfId="0" applyFont="1" applyFill="1" applyBorder="1" applyAlignment="1" applyProtection="1">
      <alignment horizontal="center" vertical="center" wrapText="1"/>
    </xf>
    <xf numFmtId="0" fontId="5" fillId="2" borderId="37" xfId="0" applyFont="1" applyFill="1" applyBorder="1" applyAlignment="1" applyProtection="1">
      <alignment horizontal="center" vertical="center" wrapText="1"/>
    </xf>
    <xf numFmtId="0" fontId="5" fillId="8" borderId="46" xfId="0" applyFont="1" applyFill="1" applyBorder="1" applyAlignment="1" applyProtection="1">
      <alignment horizontal="center" vertical="center" wrapText="1"/>
      <protection locked="0"/>
    </xf>
    <xf numFmtId="0" fontId="5" fillId="10" borderId="46" xfId="0" applyFont="1" applyFill="1" applyBorder="1" applyAlignment="1" applyProtection="1">
      <alignment horizontal="center" vertical="center" wrapText="1"/>
      <protection locked="0"/>
    </xf>
    <xf numFmtId="0" fontId="4" fillId="8" borderId="46" xfId="0" applyFont="1" applyFill="1" applyBorder="1" applyAlignment="1" applyProtection="1">
      <alignment horizontal="center" vertical="center" wrapText="1"/>
      <protection locked="0"/>
    </xf>
    <xf numFmtId="0" fontId="1" fillId="9" borderId="5" xfId="0" applyFont="1" applyFill="1" applyBorder="1" applyAlignment="1" applyProtection="1">
      <alignment horizontal="center" vertical="center" wrapText="1"/>
      <protection locked="0"/>
    </xf>
    <xf numFmtId="0" fontId="1" fillId="9" borderId="10" xfId="0" applyFont="1" applyFill="1" applyBorder="1" applyAlignment="1" applyProtection="1">
      <alignment horizontal="center" vertical="center" wrapText="1"/>
      <protection locked="0"/>
    </xf>
    <xf numFmtId="0" fontId="1" fillId="5" borderId="11" xfId="0" applyFont="1" applyFill="1" applyBorder="1" applyAlignment="1" applyProtection="1">
      <alignment horizontal="center" vertical="center" wrapText="1"/>
    </xf>
    <xf numFmtId="0" fontId="1" fillId="5" borderId="15" xfId="0" applyFont="1" applyFill="1" applyBorder="1" applyAlignment="1" applyProtection="1">
      <alignment horizontal="center" vertical="center" wrapText="1"/>
    </xf>
    <xf numFmtId="0" fontId="1" fillId="5" borderId="17" xfId="0" applyFont="1" applyFill="1" applyBorder="1" applyAlignment="1" applyProtection="1">
      <alignment horizontal="center" vertical="center" wrapText="1"/>
    </xf>
    <xf numFmtId="0" fontId="1" fillId="10" borderId="5" xfId="0" applyFont="1" applyFill="1" applyBorder="1" applyAlignment="1" applyProtection="1">
      <alignment horizontal="center" vertical="center" wrapText="1"/>
    </xf>
    <xf numFmtId="0" fontId="1" fillId="10" borderId="10" xfId="0" applyFont="1" applyFill="1" applyBorder="1" applyAlignment="1" applyProtection="1">
      <alignment horizontal="center" vertical="center" wrapText="1"/>
    </xf>
    <xf numFmtId="0" fontId="1" fillId="9" borderId="18" xfId="0" applyFont="1" applyFill="1" applyBorder="1" applyAlignment="1" applyProtection="1">
      <alignment horizontal="center" vertical="center" wrapText="1"/>
      <protection locked="0"/>
    </xf>
    <xf numFmtId="0" fontId="1" fillId="9" borderId="19" xfId="0" applyFont="1" applyFill="1" applyBorder="1" applyAlignment="1" applyProtection="1">
      <alignment horizontal="center" vertical="center" wrapText="1"/>
      <protection locked="0"/>
    </xf>
    <xf numFmtId="0" fontId="7" fillId="7" borderId="21" xfId="0" applyFont="1" applyFill="1" applyBorder="1" applyAlignment="1" applyProtection="1">
      <alignment horizontal="center" vertical="center" wrapText="1"/>
    </xf>
    <xf numFmtId="0" fontId="7" fillId="7" borderId="22" xfId="0" applyFont="1" applyFill="1" applyBorder="1" applyAlignment="1" applyProtection="1">
      <alignment horizontal="center" vertical="center" wrapText="1"/>
    </xf>
    <xf numFmtId="0" fontId="7" fillId="7" borderId="23" xfId="0" applyFont="1" applyFill="1" applyBorder="1" applyAlignment="1" applyProtection="1">
      <alignment horizontal="center" vertical="center" wrapText="1"/>
    </xf>
    <xf numFmtId="0" fontId="7" fillId="7" borderId="24" xfId="0" applyFont="1" applyFill="1" applyBorder="1" applyAlignment="1" applyProtection="1">
      <alignment horizontal="center" vertical="center" wrapText="1"/>
    </xf>
    <xf numFmtId="0" fontId="7" fillId="7" borderId="25" xfId="0" applyFont="1" applyFill="1" applyBorder="1" applyAlignment="1" applyProtection="1">
      <alignment horizontal="center" vertical="center" wrapText="1"/>
    </xf>
    <xf numFmtId="0" fontId="7" fillId="7" borderId="26" xfId="0" applyFont="1" applyFill="1" applyBorder="1" applyAlignment="1" applyProtection="1">
      <alignment horizontal="center" vertical="center" wrapText="1"/>
    </xf>
    <xf numFmtId="0" fontId="1" fillId="9" borderId="4" xfId="0" applyFont="1" applyFill="1" applyBorder="1" applyAlignment="1" applyProtection="1">
      <alignment horizontal="center" vertical="center" wrapText="1"/>
      <protection locked="0"/>
    </xf>
    <xf numFmtId="0" fontId="1" fillId="9" borderId="9" xfId="0" applyFont="1" applyFill="1" applyBorder="1" applyAlignment="1" applyProtection="1">
      <alignment horizontal="center" vertical="center" wrapText="1"/>
      <protection locked="0"/>
    </xf>
    <xf numFmtId="0" fontId="1" fillId="10" borderId="4" xfId="0" applyFont="1" applyFill="1" applyBorder="1" applyAlignment="1" applyProtection="1">
      <alignment horizontal="center" vertical="center" wrapText="1"/>
    </xf>
    <xf numFmtId="0" fontId="1" fillId="10" borderId="9" xfId="0" applyFont="1" applyFill="1" applyBorder="1" applyAlignment="1" applyProtection="1">
      <alignment horizontal="center" vertical="center" wrapText="1"/>
    </xf>
    <xf numFmtId="0" fontId="1" fillId="5" borderId="6" xfId="0" applyFont="1" applyFill="1" applyBorder="1" applyAlignment="1" applyProtection="1">
      <alignment horizontal="center" vertical="center" wrapText="1"/>
    </xf>
    <xf numFmtId="0" fontId="1" fillId="5" borderId="7" xfId="0" applyFont="1" applyFill="1" applyBorder="1" applyAlignment="1" applyProtection="1">
      <alignment horizontal="center" vertical="center" wrapText="1"/>
    </xf>
    <xf numFmtId="0" fontId="1" fillId="5" borderId="8" xfId="0" applyFont="1" applyFill="1" applyBorder="1" applyAlignment="1" applyProtection="1">
      <alignment horizontal="center" vertical="center" wrapText="1"/>
    </xf>
    <xf numFmtId="0" fontId="1" fillId="5" borderId="14" xfId="0" applyFont="1" applyFill="1" applyBorder="1" applyAlignment="1" applyProtection="1">
      <alignment horizontal="center" vertical="center" wrapText="1"/>
    </xf>
    <xf numFmtId="0" fontId="1" fillId="5" borderId="16" xfId="0" applyFont="1" applyFill="1" applyBorder="1" applyAlignment="1" applyProtection="1">
      <alignment horizontal="center" vertical="center" wrapText="1"/>
    </xf>
    <xf numFmtId="0" fontId="1" fillId="5" borderId="13" xfId="0" applyFont="1" applyFill="1" applyBorder="1" applyAlignment="1" applyProtection="1">
      <alignment horizontal="center" vertical="center" wrapText="1"/>
    </xf>
    <xf numFmtId="0" fontId="7" fillId="7" borderId="5" xfId="0" applyFont="1" applyFill="1" applyBorder="1" applyAlignment="1" applyProtection="1">
      <alignment horizontal="center" vertical="center" wrapText="1"/>
    </xf>
    <xf numFmtId="0" fontId="7" fillId="7" borderId="10" xfId="0" applyFont="1" applyFill="1" applyBorder="1" applyAlignment="1" applyProtection="1">
      <alignment horizontal="center" vertical="center" wrapText="1"/>
    </xf>
    <xf numFmtId="0" fontId="5" fillId="6" borderId="28" xfId="0" applyFont="1" applyFill="1" applyBorder="1" applyAlignment="1" applyProtection="1">
      <alignment horizontal="center" vertical="center" wrapText="1"/>
    </xf>
    <xf numFmtId="0" fontId="7" fillId="6" borderId="27" xfId="0" applyFont="1" applyFill="1" applyBorder="1" applyAlignment="1" applyProtection="1">
      <alignment horizontal="center" vertical="center" wrapText="1"/>
    </xf>
    <xf numFmtId="0" fontId="7" fillId="6" borderId="29" xfId="0" applyFon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0" fontId="1" fillId="6" borderId="14" xfId="0" applyFont="1" applyFill="1" applyBorder="1" applyAlignment="1" applyProtection="1">
      <alignment horizontal="center" vertical="center" wrapText="1"/>
    </xf>
    <xf numFmtId="0" fontId="1" fillId="6" borderId="13" xfId="0" applyFont="1" applyFill="1" applyBorder="1" applyAlignment="1" applyProtection="1">
      <alignment horizontal="center" vertical="center" wrapText="1"/>
    </xf>
    <xf numFmtId="0" fontId="7" fillId="3" borderId="5" xfId="0" applyFont="1" applyFill="1" applyBorder="1" applyAlignment="1" applyProtection="1">
      <alignment horizontal="center" vertical="center" wrapText="1"/>
    </xf>
    <xf numFmtId="0" fontId="7" fillId="3" borderId="10" xfId="0" applyFont="1" applyFill="1" applyBorder="1" applyAlignment="1" applyProtection="1">
      <alignment horizontal="center" vertical="center" wrapText="1"/>
    </xf>
    <xf numFmtId="0" fontId="1" fillId="10" borderId="4" xfId="0" applyNumberFormat="1" applyFont="1" applyFill="1" applyBorder="1" applyAlignment="1" applyProtection="1">
      <alignment horizontal="center" vertical="center" wrapText="1"/>
    </xf>
    <xf numFmtId="0" fontId="1" fillId="10" borderId="9" xfId="0" applyNumberFormat="1" applyFont="1" applyFill="1" applyBorder="1" applyAlignment="1" applyProtection="1">
      <alignment horizontal="center" vertical="center" wrapText="1"/>
    </xf>
    <xf numFmtId="0" fontId="1" fillId="9" borderId="5" xfId="0" applyFont="1" applyFill="1" applyBorder="1" applyAlignment="1" applyProtection="1">
      <alignment horizontal="center" vertical="center"/>
      <protection locked="0"/>
    </xf>
    <xf numFmtId="0" fontId="1" fillId="9" borderId="10" xfId="0" applyFont="1" applyFill="1" applyBorder="1" applyAlignment="1" applyProtection="1">
      <alignment horizontal="center" vertical="center"/>
      <protection locked="0"/>
    </xf>
    <xf numFmtId="0" fontId="1" fillId="10" borderId="5" xfId="0" applyFont="1" applyFill="1" applyBorder="1" applyAlignment="1" applyProtection="1">
      <alignment horizontal="center" vertical="center"/>
    </xf>
    <xf numFmtId="0" fontId="1" fillId="10" borderId="10" xfId="0" applyFont="1" applyFill="1" applyBorder="1" applyAlignment="1" applyProtection="1">
      <alignment horizontal="center" vertical="center"/>
    </xf>
    <xf numFmtId="0" fontId="1" fillId="5" borderId="11" xfId="0" applyFont="1" applyFill="1" applyBorder="1" applyAlignment="1" applyProtection="1">
      <alignment horizontal="center" vertical="center"/>
    </xf>
    <xf numFmtId="0" fontId="1" fillId="5" borderId="15" xfId="0" applyFont="1" applyFill="1" applyBorder="1" applyAlignment="1" applyProtection="1">
      <alignment horizontal="center" vertical="center"/>
    </xf>
    <xf numFmtId="0" fontId="1" fillId="5" borderId="17" xfId="0" applyFont="1" applyFill="1" applyBorder="1" applyAlignment="1" applyProtection="1">
      <alignment horizontal="center" vertical="center"/>
    </xf>
    <xf numFmtId="0" fontId="8" fillId="7" borderId="5" xfId="0" applyFont="1" applyFill="1" applyBorder="1" applyAlignment="1" applyProtection="1">
      <alignment horizontal="center" vertical="center"/>
    </xf>
    <xf numFmtId="0" fontId="8" fillId="7" borderId="10" xfId="0" applyFont="1" applyFill="1" applyBorder="1" applyAlignment="1" applyProtection="1">
      <alignment horizontal="center" vertical="center"/>
    </xf>
    <xf numFmtId="0" fontId="7" fillId="7" borderId="21" xfId="0" applyFont="1" applyFill="1" applyBorder="1" applyAlignment="1" applyProtection="1">
      <alignment horizontal="center" vertical="center"/>
    </xf>
    <xf numFmtId="0" fontId="7" fillId="7" borderId="23" xfId="0" applyFont="1" applyFill="1" applyBorder="1" applyAlignment="1" applyProtection="1">
      <alignment horizontal="center" vertical="center"/>
    </xf>
    <xf numFmtId="0" fontId="7" fillId="7" borderId="24" xfId="0" applyFont="1" applyFill="1" applyBorder="1" applyAlignment="1" applyProtection="1">
      <alignment horizontal="center" vertical="center"/>
    </xf>
    <xf numFmtId="0" fontId="7" fillId="7" borderId="26" xfId="0" applyFont="1" applyFill="1" applyBorder="1" applyAlignment="1" applyProtection="1">
      <alignment horizontal="center" vertical="center"/>
    </xf>
    <xf numFmtId="0" fontId="8" fillId="7" borderId="21" xfId="0" applyFont="1" applyFill="1" applyBorder="1" applyAlignment="1" applyProtection="1">
      <alignment horizontal="center" vertical="center"/>
    </xf>
    <xf numFmtId="0" fontId="8" fillId="7" borderId="22" xfId="0" applyFont="1" applyFill="1" applyBorder="1" applyAlignment="1" applyProtection="1">
      <alignment horizontal="center" vertical="center"/>
    </xf>
    <xf numFmtId="0" fontId="8" fillId="7" borderId="23" xfId="0" applyFont="1" applyFill="1" applyBorder="1" applyAlignment="1" applyProtection="1">
      <alignment horizontal="center" vertical="center"/>
    </xf>
    <xf numFmtId="0" fontId="8" fillId="7" borderId="24" xfId="0" applyFont="1" applyFill="1" applyBorder="1" applyAlignment="1" applyProtection="1">
      <alignment horizontal="center" vertical="center"/>
    </xf>
    <xf numFmtId="0" fontId="8" fillId="7" borderId="25" xfId="0" applyFont="1" applyFill="1" applyBorder="1" applyAlignment="1" applyProtection="1">
      <alignment horizontal="center" vertical="center"/>
    </xf>
    <xf numFmtId="0" fontId="8" fillId="7" borderId="26" xfId="0" applyFont="1" applyFill="1" applyBorder="1" applyAlignment="1" applyProtection="1">
      <alignment horizontal="center" vertical="center"/>
    </xf>
    <xf numFmtId="0" fontId="7" fillId="7" borderId="22" xfId="0" applyFont="1" applyFill="1" applyBorder="1" applyAlignment="1" applyProtection="1">
      <alignment horizontal="center" vertical="center"/>
    </xf>
    <xf numFmtId="0" fontId="7" fillId="7" borderId="25" xfId="0" applyFont="1" applyFill="1" applyBorder="1" applyAlignment="1" applyProtection="1">
      <alignment horizontal="center" vertical="center"/>
    </xf>
    <xf numFmtId="0" fontId="1" fillId="9" borderId="18" xfId="0" applyFont="1" applyFill="1" applyBorder="1" applyAlignment="1" applyProtection="1">
      <alignment horizontal="center" vertical="center"/>
      <protection locked="0"/>
    </xf>
    <xf numFmtId="0" fontId="1" fillId="9" borderId="19" xfId="0" applyFont="1" applyFill="1" applyBorder="1" applyAlignment="1" applyProtection="1">
      <alignment horizontal="center" vertical="center"/>
      <protection locked="0"/>
    </xf>
    <xf numFmtId="0" fontId="1" fillId="10" borderId="21" xfId="0" applyFont="1" applyFill="1" applyBorder="1" applyAlignment="1" applyProtection="1">
      <alignment horizontal="center" vertical="center"/>
    </xf>
    <xf numFmtId="0" fontId="1" fillId="10" borderId="24" xfId="0" applyFont="1" applyFill="1" applyBorder="1" applyAlignment="1" applyProtection="1">
      <alignment horizontal="center" vertical="center"/>
    </xf>
    <xf numFmtId="0" fontId="1" fillId="5" borderId="14" xfId="0" applyFont="1" applyFill="1" applyBorder="1" applyAlignment="1" applyProtection="1">
      <alignment horizontal="center" vertical="center"/>
    </xf>
    <xf numFmtId="0" fontId="1" fillId="5" borderId="16" xfId="0" applyFont="1" applyFill="1" applyBorder="1" applyAlignment="1" applyProtection="1">
      <alignment horizontal="center" vertical="center"/>
    </xf>
    <xf numFmtId="0" fontId="1" fillId="5" borderId="13" xfId="0" applyFont="1" applyFill="1" applyBorder="1" applyAlignment="1" applyProtection="1">
      <alignment horizontal="center" vertical="center"/>
    </xf>
    <xf numFmtId="0" fontId="1" fillId="6" borderId="11" xfId="0" applyFont="1" applyFill="1" applyBorder="1" applyAlignment="1" applyProtection="1">
      <alignment horizontal="center" vertical="center"/>
    </xf>
    <xf numFmtId="0" fontId="1" fillId="6" borderId="15" xfId="0" applyFont="1" applyFill="1" applyBorder="1" applyAlignment="1" applyProtection="1">
      <alignment horizontal="center" vertical="center"/>
    </xf>
    <xf numFmtId="0" fontId="1" fillId="6" borderId="17" xfId="0" applyFont="1" applyFill="1" applyBorder="1" applyAlignment="1" applyProtection="1">
      <alignment horizontal="center" vertical="center"/>
    </xf>
    <xf numFmtId="0" fontId="5" fillId="5" borderId="11" xfId="0" applyFont="1" applyFill="1" applyBorder="1" applyAlignment="1" applyProtection="1">
      <alignment horizontal="center" vertical="center"/>
    </xf>
    <xf numFmtId="0" fontId="5" fillId="5" borderId="17" xfId="0" applyFont="1" applyFill="1" applyBorder="1" applyAlignment="1" applyProtection="1">
      <alignment horizontal="center" vertical="center"/>
    </xf>
    <xf numFmtId="0" fontId="5" fillId="5" borderId="15" xfId="0" applyFont="1" applyFill="1" applyBorder="1" applyAlignment="1" applyProtection="1">
      <alignment horizontal="center" vertical="center"/>
    </xf>
    <xf numFmtId="0" fontId="7" fillId="7" borderId="5" xfId="0" applyFont="1" applyFill="1" applyBorder="1" applyAlignment="1" applyProtection="1">
      <alignment horizontal="center" vertical="center"/>
    </xf>
    <xf numFmtId="0" fontId="7" fillId="7" borderId="10" xfId="0" applyFont="1" applyFill="1" applyBorder="1" applyAlignment="1" applyProtection="1">
      <alignment horizontal="center" vertical="center"/>
    </xf>
    <xf numFmtId="0" fontId="1" fillId="10" borderId="4" xfId="0" applyFont="1" applyFill="1" applyBorder="1" applyAlignment="1" applyProtection="1">
      <alignment horizontal="center" vertical="center"/>
    </xf>
    <xf numFmtId="0" fontId="1" fillId="10" borderId="9" xfId="0" applyFont="1" applyFill="1" applyBorder="1" applyAlignment="1" applyProtection="1">
      <alignment horizontal="center" vertical="center"/>
    </xf>
    <xf numFmtId="0" fontId="1" fillId="5" borderId="6" xfId="0" applyFont="1" applyFill="1" applyBorder="1" applyAlignment="1" applyProtection="1">
      <alignment horizontal="center" vertical="center"/>
    </xf>
    <xf numFmtId="0" fontId="1" fillId="5" borderId="7" xfId="0" applyFont="1" applyFill="1" applyBorder="1" applyAlignment="1" applyProtection="1">
      <alignment horizontal="center" vertical="center"/>
    </xf>
    <xf numFmtId="0" fontId="1" fillId="5" borderId="8" xfId="0" applyFont="1" applyFill="1" applyBorder="1" applyAlignment="1" applyProtection="1">
      <alignment horizontal="center" vertical="center"/>
    </xf>
    <xf numFmtId="0" fontId="1" fillId="9" borderId="4" xfId="0" applyFont="1" applyFill="1" applyBorder="1" applyAlignment="1" applyProtection="1">
      <alignment horizontal="center" vertical="center"/>
      <protection locked="0"/>
    </xf>
    <xf numFmtId="0" fontId="1" fillId="9" borderId="9" xfId="0" applyFont="1" applyFill="1" applyBorder="1" applyAlignment="1" applyProtection="1">
      <alignment horizontal="center" vertical="center"/>
      <protection locked="0"/>
    </xf>
    <xf numFmtId="0" fontId="1" fillId="10" borderId="4" xfId="0" applyNumberFormat="1" applyFont="1" applyFill="1" applyBorder="1" applyAlignment="1" applyProtection="1">
      <alignment horizontal="center" vertical="center"/>
    </xf>
    <xf numFmtId="0" fontId="1" fillId="10" borderId="9" xfId="0" applyNumberFormat="1" applyFont="1" applyFill="1" applyBorder="1" applyAlignment="1" applyProtection="1">
      <alignment horizontal="center" vertical="center"/>
    </xf>
    <xf numFmtId="0" fontId="1" fillId="10" borderId="5" xfId="0" applyNumberFormat="1" applyFont="1" applyFill="1" applyBorder="1" applyAlignment="1" applyProtection="1">
      <alignment horizontal="center" vertical="center"/>
    </xf>
    <xf numFmtId="0" fontId="1" fillId="10" borderId="10" xfId="0" applyNumberFormat="1" applyFont="1" applyFill="1" applyBorder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  <protection locked="0"/>
    </xf>
    <xf numFmtId="0" fontId="11" fillId="0" borderId="0" xfId="0" applyFont="1" applyBorder="1" applyAlignment="1" applyProtection="1">
      <alignment horizontal="center" vertical="center"/>
    </xf>
    <xf numFmtId="0" fontId="11" fillId="0" borderId="38" xfId="0" applyFont="1" applyFill="1" applyBorder="1" applyAlignment="1" applyProtection="1">
      <alignment horizontal="center" vertical="center" wrapText="1"/>
    </xf>
    <xf numFmtId="0" fontId="10" fillId="0" borderId="38" xfId="0" applyFont="1" applyBorder="1" applyAlignment="1" applyProtection="1">
      <alignment horizontal="center" vertical="center"/>
    </xf>
    <xf numFmtId="0" fontId="11" fillId="0" borderId="32" xfId="0" applyFont="1" applyBorder="1" applyAlignment="1" applyProtection="1">
      <alignment horizontal="center" vertical="center"/>
    </xf>
    <xf numFmtId="0" fontId="10" fillId="0" borderId="39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10" fillId="0" borderId="33" xfId="0" applyFont="1" applyBorder="1" applyAlignment="1" applyProtection="1">
      <alignment horizontal="center" vertical="center"/>
    </xf>
    <xf numFmtId="0" fontId="11" fillId="2" borderId="45" xfId="0" applyFont="1" applyFill="1" applyBorder="1" applyAlignment="1" applyProtection="1">
      <alignment horizontal="center" vertical="center" wrapText="1"/>
    </xf>
    <xf numFmtId="0" fontId="10" fillId="0" borderId="40" xfId="0" applyFont="1" applyBorder="1" applyAlignment="1" applyProtection="1">
      <alignment horizontal="center" vertical="center"/>
    </xf>
    <xf numFmtId="0" fontId="11" fillId="2" borderId="44" xfId="0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center" vertical="center"/>
      <protection locked="0"/>
    </xf>
    <xf numFmtId="0" fontId="10" fillId="0" borderId="38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22412</xdr:colOff>
      <xdr:row>0</xdr:row>
      <xdr:rowOff>33619</xdr:rowOff>
    </xdr:from>
    <xdr:to>
      <xdr:col>14</xdr:col>
      <xdr:colOff>392207</xdr:colOff>
      <xdr:row>3</xdr:row>
      <xdr:rowOff>0</xdr:rowOff>
    </xdr:to>
    <xdr:sp macro="" textlink="">
      <xdr:nvSpPr>
        <xdr:cNvPr id="2" name="TextBox 1"/>
        <xdr:cNvSpPr txBox="1"/>
      </xdr:nvSpPr>
      <xdr:spPr>
        <a:xfrm>
          <a:off x="8135471" y="33619"/>
          <a:ext cx="8796618" cy="53788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1"/>
            <a:t>Note: </a:t>
          </a:r>
          <a:r>
            <a:rPr lang="en-US" sz="1400"/>
            <a:t>The</a:t>
          </a:r>
          <a:r>
            <a:rPr lang="en-US" sz="1400" baseline="0"/>
            <a:t> default values are selected for the DDR3 memory device </a:t>
          </a:r>
          <a:r>
            <a:rPr lang="en-US" sz="1400" b="1" baseline="0"/>
            <a:t>MT41K128M16-125 </a:t>
          </a:r>
          <a:r>
            <a:rPr lang="en-US" sz="1400" b="0" baseline="0"/>
            <a:t>at </a:t>
          </a:r>
          <a:r>
            <a:rPr lang="en-US" sz="1400" b="1" baseline="0"/>
            <a:t>DCLK=450 MHz.</a:t>
          </a:r>
          <a:endParaRPr lang="en-US" sz="14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22411</xdr:colOff>
      <xdr:row>0</xdr:row>
      <xdr:rowOff>11206</xdr:rowOff>
    </xdr:from>
    <xdr:to>
      <xdr:col>14</xdr:col>
      <xdr:colOff>392206</xdr:colOff>
      <xdr:row>2</xdr:row>
      <xdr:rowOff>168087</xdr:rowOff>
    </xdr:to>
    <xdr:sp macro="" textlink="">
      <xdr:nvSpPr>
        <xdr:cNvPr id="2" name="TextBox 1"/>
        <xdr:cNvSpPr txBox="1"/>
      </xdr:nvSpPr>
      <xdr:spPr>
        <a:xfrm>
          <a:off x="8135470" y="11206"/>
          <a:ext cx="8796618" cy="53788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1"/>
            <a:t>Note: </a:t>
          </a:r>
          <a:r>
            <a:rPr lang="en-US" sz="1400"/>
            <a:t>The</a:t>
          </a:r>
          <a:r>
            <a:rPr lang="en-US" sz="1400" baseline="0"/>
            <a:t> default values are selected for the DDR2 memory device </a:t>
          </a:r>
          <a:r>
            <a:rPr lang="en-US" sz="1400" b="1" baseline="0"/>
            <a:t>MT47H128M16RT-25E XIT:C </a:t>
          </a:r>
          <a:r>
            <a:rPr lang="en-US" sz="1400" b="0" baseline="0"/>
            <a:t>at </a:t>
          </a:r>
          <a:r>
            <a:rPr lang="en-US" sz="1400" b="1" baseline="0"/>
            <a:t>DCLK=400 MHz.</a:t>
          </a:r>
          <a:endParaRPr lang="en-US" sz="1400" b="1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44824</xdr:colOff>
      <xdr:row>0</xdr:row>
      <xdr:rowOff>22412</xdr:rowOff>
    </xdr:from>
    <xdr:to>
      <xdr:col>14</xdr:col>
      <xdr:colOff>414619</xdr:colOff>
      <xdr:row>2</xdr:row>
      <xdr:rowOff>179293</xdr:rowOff>
    </xdr:to>
    <xdr:sp macro="" textlink="">
      <xdr:nvSpPr>
        <xdr:cNvPr id="2" name="TextBox 1"/>
        <xdr:cNvSpPr txBox="1"/>
      </xdr:nvSpPr>
      <xdr:spPr>
        <a:xfrm>
          <a:off x="8157883" y="22412"/>
          <a:ext cx="8796618" cy="53788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400" b="1"/>
            <a:t>Note: </a:t>
          </a:r>
          <a:r>
            <a:rPr lang="en-US" sz="1400"/>
            <a:t>The</a:t>
          </a:r>
          <a:r>
            <a:rPr lang="en-US" sz="1400" baseline="0"/>
            <a:t> default values are selected for the LPDDRmemory device </a:t>
          </a:r>
          <a:r>
            <a:rPr lang="en-US" sz="1400" b="1" baseline="0"/>
            <a:t>MT46H128M16LFDD-48 WT </a:t>
          </a:r>
          <a:r>
            <a:rPr lang="en-US" sz="1400" b="0" baseline="0"/>
            <a:t>at </a:t>
          </a:r>
          <a:r>
            <a:rPr lang="en-US" sz="1400" b="1" baseline="0"/>
            <a:t>DCLK=200MHz.</a:t>
          </a:r>
          <a:endParaRPr lang="en-US" sz="14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5"/>
  <sheetViews>
    <sheetView tabSelected="1" zoomScale="85" zoomScaleNormal="85" workbookViewId="0">
      <selection activeCell="H19" sqref="H19"/>
    </sheetView>
  </sheetViews>
  <sheetFormatPr defaultRowHeight="15" x14ac:dyDescent="0.25"/>
  <cols>
    <col min="1" max="1" width="42.7109375" style="112" customWidth="1"/>
    <col min="2" max="34" width="15.7109375" style="112" customWidth="1"/>
    <col min="35" max="16384" width="9.140625" style="112"/>
  </cols>
  <sheetData>
    <row r="1" spans="1:23" ht="15" customHeight="1" x14ac:dyDescent="0.25">
      <c r="A1" s="163" t="s">
        <v>0</v>
      </c>
      <c r="B1" s="163" t="s">
        <v>1</v>
      </c>
      <c r="C1" s="164" t="s">
        <v>2</v>
      </c>
      <c r="D1" s="34"/>
      <c r="E1" s="35" t="s">
        <v>2</v>
      </c>
      <c r="F1" s="69"/>
      <c r="G1" s="69"/>
      <c r="H1" s="69"/>
      <c r="I1" s="69"/>
      <c r="J1" s="69"/>
      <c r="K1" s="69"/>
      <c r="L1" s="69"/>
      <c r="M1" s="69"/>
      <c r="N1" s="111"/>
      <c r="O1" s="116"/>
      <c r="P1" s="116"/>
      <c r="Q1" s="116"/>
      <c r="R1" s="116"/>
      <c r="S1" s="116"/>
      <c r="T1" s="116"/>
      <c r="U1" s="116"/>
      <c r="V1" s="116"/>
      <c r="W1" s="116"/>
    </row>
    <row r="2" spans="1:23" ht="15" customHeight="1" x14ac:dyDescent="0.25">
      <c r="A2" s="167" t="s">
        <v>115</v>
      </c>
      <c r="B2" s="168">
        <v>450</v>
      </c>
      <c r="C2" s="169" t="s">
        <v>3</v>
      </c>
      <c r="D2" s="36">
        <f>(1/B2)*1000</f>
        <v>2.2222222222222223</v>
      </c>
      <c r="E2" s="37" t="s">
        <v>4</v>
      </c>
      <c r="F2" s="113"/>
      <c r="G2" s="69"/>
      <c r="H2" s="69"/>
      <c r="I2" s="69"/>
      <c r="J2" s="69"/>
      <c r="K2" s="69"/>
      <c r="L2" s="69"/>
      <c r="M2" s="69"/>
      <c r="N2" s="111"/>
      <c r="O2" s="116"/>
      <c r="P2" s="116"/>
      <c r="Q2" s="116"/>
      <c r="R2" s="116"/>
      <c r="S2" s="116"/>
      <c r="T2" s="116"/>
      <c r="U2" s="116"/>
      <c r="V2" s="116"/>
      <c r="W2" s="116"/>
    </row>
    <row r="3" spans="1:23" ht="15" customHeight="1" x14ac:dyDescent="0.25">
      <c r="A3" s="167" t="s">
        <v>68</v>
      </c>
      <c r="B3" s="168">
        <v>2048</v>
      </c>
      <c r="C3" s="169" t="s">
        <v>77</v>
      </c>
      <c r="D3" s="36">
        <f>LOG((B3*1024*1024/(64*1024*1024)),2)</f>
        <v>5</v>
      </c>
      <c r="E3" s="40"/>
      <c r="F3" s="69"/>
      <c r="G3" s="70" t="s">
        <v>4</v>
      </c>
      <c r="H3" s="70" t="s">
        <v>125</v>
      </c>
      <c r="I3" s="70">
        <v>0</v>
      </c>
      <c r="J3" s="70" t="s">
        <v>114</v>
      </c>
      <c r="K3" s="70">
        <v>16</v>
      </c>
      <c r="L3" s="69"/>
      <c r="M3" s="69"/>
      <c r="N3" s="111"/>
      <c r="O3" s="116"/>
      <c r="P3" s="116"/>
      <c r="Q3" s="116"/>
      <c r="R3" s="116"/>
      <c r="S3" s="116"/>
      <c r="T3" s="116"/>
      <c r="U3" s="116"/>
      <c r="V3" s="116"/>
      <c r="W3" s="116"/>
    </row>
    <row r="4" spans="1:23" ht="15" customHeight="1" x14ac:dyDescent="0.25">
      <c r="A4" s="167" t="s">
        <v>16</v>
      </c>
      <c r="B4" s="168">
        <v>13.125</v>
      </c>
      <c r="C4" s="169" t="s">
        <v>4</v>
      </c>
      <c r="D4" s="36">
        <f>IF(C4=G3,CEILING((B4/D2),1),B4)</f>
        <v>6</v>
      </c>
      <c r="E4" s="40" t="s">
        <v>6</v>
      </c>
      <c r="F4" s="114"/>
      <c r="G4" s="70" t="s">
        <v>80</v>
      </c>
      <c r="H4" s="70" t="s">
        <v>126</v>
      </c>
      <c r="I4" s="70">
        <v>75</v>
      </c>
      <c r="J4" s="70" t="s">
        <v>127</v>
      </c>
      <c r="K4" s="70">
        <v>5</v>
      </c>
      <c r="L4" s="69"/>
      <c r="M4" s="69"/>
      <c r="N4" s="111"/>
      <c r="O4" s="116"/>
      <c r="P4" s="116"/>
      <c r="Q4" s="116"/>
      <c r="R4" s="116"/>
      <c r="S4" s="116"/>
      <c r="T4" s="116"/>
      <c r="U4" s="116"/>
      <c r="V4" s="116"/>
      <c r="W4" s="116"/>
    </row>
    <row r="5" spans="1:23" ht="15" customHeight="1" x14ac:dyDescent="0.25">
      <c r="A5" s="167" t="s">
        <v>17</v>
      </c>
      <c r="B5" s="168">
        <v>4</v>
      </c>
      <c r="C5" s="169" t="s">
        <v>6</v>
      </c>
      <c r="D5" s="36">
        <f>IF(C5=G3,CEILING((B5/D2),1),B5)</f>
        <v>4</v>
      </c>
      <c r="E5" s="40" t="s">
        <v>6</v>
      </c>
      <c r="F5" s="105"/>
      <c r="G5" s="115"/>
      <c r="H5" s="70"/>
      <c r="I5" s="70">
        <v>150</v>
      </c>
      <c r="J5" s="70" t="s">
        <v>128</v>
      </c>
      <c r="K5" s="70">
        <v>6</v>
      </c>
      <c r="L5" s="69"/>
      <c r="M5" s="69"/>
      <c r="N5" s="111"/>
      <c r="O5" s="116"/>
      <c r="P5" s="116"/>
      <c r="Q5" s="116"/>
      <c r="R5" s="116"/>
      <c r="S5" s="116"/>
      <c r="T5" s="116"/>
      <c r="U5" s="116"/>
      <c r="V5" s="116"/>
      <c r="W5" s="116"/>
    </row>
    <row r="6" spans="1:23" ht="15" customHeight="1" x14ac:dyDescent="0.25">
      <c r="A6" s="167" t="s">
        <v>18</v>
      </c>
      <c r="B6" s="168">
        <v>13.125</v>
      </c>
      <c r="C6" s="169" t="s">
        <v>4</v>
      </c>
      <c r="D6" s="36">
        <f>IF(C6=G3,CEILING((B6/D2),1),B6)</f>
        <v>6</v>
      </c>
      <c r="E6" s="40" t="s">
        <v>6</v>
      </c>
      <c r="F6" s="105"/>
      <c r="G6" s="69"/>
      <c r="H6" s="70" t="s">
        <v>97</v>
      </c>
      <c r="I6" s="70">
        <v>50</v>
      </c>
      <c r="J6" s="70" t="s">
        <v>125</v>
      </c>
      <c r="K6" s="70">
        <v>7</v>
      </c>
      <c r="L6" s="69"/>
      <c r="M6" s="69"/>
      <c r="N6" s="111"/>
      <c r="O6" s="116"/>
      <c r="P6" s="116"/>
      <c r="Q6" s="116"/>
      <c r="R6" s="116"/>
      <c r="S6" s="116"/>
      <c r="T6" s="116"/>
      <c r="U6" s="116"/>
      <c r="V6" s="116"/>
      <c r="W6" s="116"/>
    </row>
    <row r="7" spans="1:23" ht="15" customHeight="1" x14ac:dyDescent="0.25">
      <c r="A7" s="167" t="s">
        <v>19</v>
      </c>
      <c r="B7" s="168">
        <v>37.5</v>
      </c>
      <c r="C7" s="169" t="s">
        <v>4</v>
      </c>
      <c r="D7" s="36">
        <f>IF(C7=G3,CEILING((B7/D2),1),B7)</f>
        <v>17</v>
      </c>
      <c r="E7" s="40" t="s">
        <v>6</v>
      </c>
      <c r="F7" s="106"/>
      <c r="G7" s="69"/>
      <c r="H7" s="70" t="s">
        <v>98</v>
      </c>
      <c r="I7" s="70"/>
      <c r="J7" s="70" t="s">
        <v>129</v>
      </c>
      <c r="K7" s="70">
        <v>8</v>
      </c>
      <c r="L7" s="70"/>
      <c r="M7" s="69"/>
      <c r="N7" s="111"/>
      <c r="O7" s="116"/>
      <c r="P7" s="116"/>
      <c r="Q7" s="116"/>
      <c r="R7" s="116"/>
      <c r="S7" s="116"/>
      <c r="T7" s="116"/>
      <c r="U7" s="116"/>
      <c r="V7" s="116"/>
      <c r="W7" s="116"/>
    </row>
    <row r="8" spans="1:23" ht="15" customHeight="1" x14ac:dyDescent="0.25">
      <c r="A8" s="167" t="s">
        <v>20</v>
      </c>
      <c r="B8" s="168">
        <v>50.625</v>
      </c>
      <c r="C8" s="169" t="s">
        <v>4</v>
      </c>
      <c r="D8" s="36">
        <f>IF(C8=G3,CEILING((B8/D2),1),B8)</f>
        <v>23</v>
      </c>
      <c r="E8" s="40" t="s">
        <v>6</v>
      </c>
      <c r="F8" s="105"/>
      <c r="G8" s="69"/>
      <c r="H8" s="70" t="s">
        <v>99</v>
      </c>
      <c r="I8" s="70"/>
      <c r="J8" s="70" t="s">
        <v>130</v>
      </c>
      <c r="K8" s="70">
        <v>10</v>
      </c>
      <c r="L8" s="69"/>
      <c r="M8" s="69"/>
      <c r="N8" s="111"/>
      <c r="O8" s="116"/>
      <c r="P8" s="116"/>
      <c r="Q8" s="116"/>
      <c r="R8" s="116"/>
      <c r="S8" s="116"/>
      <c r="T8" s="116"/>
      <c r="U8" s="116"/>
      <c r="V8" s="116"/>
      <c r="W8" s="116"/>
    </row>
    <row r="9" spans="1:23" ht="15" customHeight="1" x14ac:dyDescent="0.25">
      <c r="A9" s="167" t="s">
        <v>21</v>
      </c>
      <c r="B9" s="168">
        <v>4</v>
      </c>
      <c r="C9" s="169" t="s">
        <v>6</v>
      </c>
      <c r="D9" s="36">
        <f>IF(C9=G3,CEILING((B9/D2),1),B9)</f>
        <v>4</v>
      </c>
      <c r="E9" s="40" t="s">
        <v>6</v>
      </c>
      <c r="F9" s="107"/>
      <c r="G9" s="115"/>
      <c r="H9" s="69"/>
      <c r="I9" s="70"/>
      <c r="J9" s="70"/>
      <c r="K9" s="70">
        <v>12</v>
      </c>
      <c r="L9" s="69"/>
      <c r="M9" s="69"/>
      <c r="N9" s="111"/>
      <c r="O9" s="116"/>
      <c r="P9" s="116"/>
      <c r="Q9" s="116"/>
      <c r="R9" s="116"/>
      <c r="S9" s="116"/>
      <c r="T9" s="116"/>
      <c r="U9" s="116"/>
      <c r="V9" s="116"/>
      <c r="W9" s="116"/>
    </row>
    <row r="10" spans="1:23" ht="15" customHeight="1" x14ac:dyDescent="0.25">
      <c r="A10" s="167" t="s">
        <v>124</v>
      </c>
      <c r="B10" s="168">
        <v>7.8</v>
      </c>
      <c r="C10" s="169" t="s">
        <v>137</v>
      </c>
      <c r="D10" s="36">
        <f>IF(C10="us",(B10/D2)*1000,B10)</f>
        <v>3510</v>
      </c>
      <c r="E10" s="40" t="s">
        <v>6</v>
      </c>
      <c r="F10" s="108"/>
      <c r="G10" s="115"/>
      <c r="H10" s="70"/>
      <c r="I10" s="70"/>
      <c r="J10" s="70"/>
      <c r="K10" s="70">
        <v>14</v>
      </c>
      <c r="L10" s="69"/>
      <c r="M10" s="69"/>
      <c r="N10" s="111"/>
      <c r="O10" s="116"/>
      <c r="P10" s="116"/>
      <c r="Q10" s="116"/>
      <c r="R10" s="116"/>
      <c r="S10" s="116"/>
      <c r="T10" s="116"/>
      <c r="U10" s="116"/>
      <c r="V10" s="116"/>
      <c r="W10" s="116"/>
    </row>
    <row r="11" spans="1:23" ht="15" customHeight="1" x14ac:dyDescent="0.25">
      <c r="A11" s="167" t="s">
        <v>14</v>
      </c>
      <c r="B11" s="168">
        <v>160</v>
      </c>
      <c r="C11" s="169" t="s">
        <v>4</v>
      </c>
      <c r="D11" s="36">
        <f>IF(C11=G3,CEILING((B11/D2),1),B11)</f>
        <v>72</v>
      </c>
      <c r="E11" s="40" t="s">
        <v>6</v>
      </c>
      <c r="F11" s="105"/>
      <c r="G11" s="70" t="s">
        <v>4</v>
      </c>
      <c r="H11" s="54" t="s">
        <v>80</v>
      </c>
      <c r="I11" s="54" t="s">
        <v>94</v>
      </c>
      <c r="J11" s="54" t="s">
        <v>96</v>
      </c>
      <c r="K11" s="54" t="s">
        <v>22</v>
      </c>
      <c r="L11" s="54"/>
      <c r="M11" s="69"/>
      <c r="N11" s="111"/>
      <c r="O11" s="116"/>
      <c r="P11" s="116"/>
      <c r="Q11" s="116"/>
      <c r="R11" s="116"/>
      <c r="S11" s="116"/>
      <c r="T11" s="116"/>
      <c r="U11" s="116"/>
      <c r="V11" s="116"/>
      <c r="W11" s="116"/>
    </row>
    <row r="12" spans="1:23" ht="15" customHeight="1" x14ac:dyDescent="0.25">
      <c r="A12" s="167" t="s">
        <v>15</v>
      </c>
      <c r="B12" s="168">
        <v>4</v>
      </c>
      <c r="C12" s="169" t="s">
        <v>6</v>
      </c>
      <c r="D12" s="36">
        <f>IF(C12=G3,CEILING((B12/D2),1),B12)</f>
        <v>4</v>
      </c>
      <c r="E12" s="40" t="s">
        <v>6</v>
      </c>
      <c r="F12" s="105"/>
      <c r="G12" s="70" t="s">
        <v>6</v>
      </c>
      <c r="H12" s="70">
        <f>512</f>
        <v>512</v>
      </c>
      <c r="I12" s="70">
        <v>5</v>
      </c>
      <c r="J12" s="70" t="s">
        <v>131</v>
      </c>
      <c r="K12" s="70">
        <v>5</v>
      </c>
      <c r="L12" s="70"/>
      <c r="M12" s="69"/>
      <c r="N12" s="111"/>
      <c r="O12" s="116"/>
      <c r="P12" s="116"/>
      <c r="Q12" s="116"/>
      <c r="R12" s="116"/>
      <c r="S12" s="116"/>
      <c r="T12" s="116"/>
      <c r="U12" s="116"/>
      <c r="V12" s="116"/>
      <c r="W12" s="116"/>
    </row>
    <row r="13" spans="1:23" ht="15" customHeight="1" x14ac:dyDescent="0.25">
      <c r="A13" s="167" t="s">
        <v>8</v>
      </c>
      <c r="B13" s="168">
        <v>50</v>
      </c>
      <c r="C13" s="169" t="s">
        <v>4</v>
      </c>
      <c r="D13" s="36">
        <f>IF(C13=G3,CEILING((B13/D2),1),B13)</f>
        <v>23</v>
      </c>
      <c r="E13" s="40" t="s">
        <v>6</v>
      </c>
      <c r="F13" s="105"/>
      <c r="G13" s="114"/>
      <c r="H13" s="70">
        <f>1024</f>
        <v>1024</v>
      </c>
      <c r="I13" s="70">
        <v>6</v>
      </c>
      <c r="J13" s="70" t="s">
        <v>98</v>
      </c>
      <c r="K13" s="70">
        <v>6</v>
      </c>
      <c r="L13" s="70"/>
      <c r="M13" s="69"/>
      <c r="N13" s="111"/>
      <c r="O13" s="116"/>
      <c r="P13" s="116"/>
      <c r="Q13" s="116"/>
      <c r="R13" s="116"/>
      <c r="S13" s="116"/>
      <c r="T13" s="116"/>
      <c r="U13" s="116"/>
      <c r="V13" s="116"/>
      <c r="W13" s="116"/>
    </row>
    <row r="14" spans="1:23" ht="15" customHeight="1" x14ac:dyDescent="0.25">
      <c r="A14" s="167" t="s">
        <v>9</v>
      </c>
      <c r="B14" s="168">
        <v>4</v>
      </c>
      <c r="C14" s="169" t="s">
        <v>6</v>
      </c>
      <c r="D14" s="36">
        <f>IF(C14=G3,CEILING((B14/D2),1),B14)</f>
        <v>4</v>
      </c>
      <c r="E14" s="40" t="s">
        <v>6</v>
      </c>
      <c r="F14" s="109"/>
      <c r="G14" s="115"/>
      <c r="H14" s="70">
        <f>2048</f>
        <v>2048</v>
      </c>
      <c r="I14" s="70">
        <v>7</v>
      </c>
      <c r="J14" s="70" t="s">
        <v>99</v>
      </c>
      <c r="K14" s="70">
        <v>7</v>
      </c>
      <c r="L14" s="69"/>
      <c r="M14" s="69"/>
      <c r="N14" s="111"/>
      <c r="O14" s="116"/>
      <c r="P14" s="116"/>
      <c r="Q14" s="116"/>
      <c r="R14" s="116"/>
      <c r="S14" s="116"/>
      <c r="T14" s="116"/>
      <c r="U14" s="116"/>
      <c r="V14" s="116"/>
      <c r="W14" s="116"/>
    </row>
    <row r="15" spans="1:23" ht="15" customHeight="1" x14ac:dyDescent="0.25">
      <c r="A15" s="167" t="s">
        <v>10</v>
      </c>
      <c r="B15" s="168">
        <v>15</v>
      </c>
      <c r="C15" s="169" t="s">
        <v>4</v>
      </c>
      <c r="D15" s="36">
        <f>IF(C15=G3,CEILING((B15/D2),1),B15)</f>
        <v>7</v>
      </c>
      <c r="E15" s="148" t="s">
        <v>6</v>
      </c>
      <c r="F15" s="40">
        <f>IF(D15&lt;=5,1,IF(D15&lt;=6,2,IF(D15&lt;=7,3,IF(D15&lt;=8,4,IF(D15&lt;=10,5,IF(D15&lt;=12,6,IF(D15&lt;=14,7,IF(D15&lt;=16,0,0))))))))</f>
        <v>3</v>
      </c>
      <c r="G15" s="114"/>
      <c r="H15" s="70">
        <f>4096</f>
        <v>4096</v>
      </c>
      <c r="I15" s="70">
        <v>8</v>
      </c>
      <c r="J15" s="69"/>
      <c r="K15" s="70">
        <v>8</v>
      </c>
      <c r="L15" s="69"/>
      <c r="M15" s="69"/>
      <c r="N15" s="111"/>
      <c r="O15" s="116"/>
      <c r="P15" s="116"/>
      <c r="Q15" s="116"/>
      <c r="R15" s="116"/>
      <c r="S15" s="116"/>
      <c r="T15" s="116"/>
      <c r="U15" s="116"/>
      <c r="V15" s="116"/>
      <c r="W15" s="116"/>
    </row>
    <row r="16" spans="1:23" ht="15" customHeight="1" x14ac:dyDescent="0.25">
      <c r="A16" s="167" t="s">
        <v>11</v>
      </c>
      <c r="B16" s="168">
        <v>7.5</v>
      </c>
      <c r="C16" s="169" t="s">
        <v>4</v>
      </c>
      <c r="D16" s="36">
        <f>IF(C16=G3,CEILING((B16/D2),1),B16)</f>
        <v>4</v>
      </c>
      <c r="E16" s="40" t="s">
        <v>6</v>
      </c>
      <c r="F16" s="108"/>
      <c r="G16" s="70" t="s">
        <v>137</v>
      </c>
      <c r="H16" s="70">
        <f>8192</f>
        <v>8192</v>
      </c>
      <c r="I16" s="70">
        <v>9</v>
      </c>
      <c r="J16" s="69"/>
      <c r="K16" s="70">
        <v>9</v>
      </c>
      <c r="L16" s="69"/>
      <c r="M16" s="70"/>
      <c r="N16" s="111"/>
      <c r="O16" s="116"/>
      <c r="P16" s="116"/>
      <c r="Q16" s="116"/>
      <c r="R16" s="116"/>
      <c r="S16" s="116"/>
      <c r="T16" s="116"/>
      <c r="U16" s="116"/>
      <c r="V16" s="116"/>
      <c r="W16" s="116"/>
    </row>
    <row r="17" spans="1:34" ht="15" customHeight="1" x14ac:dyDescent="0.25">
      <c r="A17" s="167" t="s">
        <v>12</v>
      </c>
      <c r="B17" s="168">
        <v>3</v>
      </c>
      <c r="C17" s="169" t="s">
        <v>6</v>
      </c>
      <c r="D17" s="36">
        <f>IF(C17=G3,CEILING((B17/D2),1),B17)</f>
        <v>3</v>
      </c>
      <c r="E17" s="40" t="s">
        <v>6</v>
      </c>
      <c r="F17" s="108"/>
      <c r="G17" s="70" t="s">
        <v>6</v>
      </c>
      <c r="H17" s="69"/>
      <c r="I17" s="70">
        <v>10</v>
      </c>
      <c r="J17" s="69"/>
      <c r="K17" s="70">
        <v>10</v>
      </c>
      <c r="L17" s="69"/>
      <c r="M17" s="70"/>
      <c r="N17" s="111"/>
      <c r="O17" s="116"/>
      <c r="P17" s="116"/>
      <c r="Q17" s="116"/>
      <c r="R17" s="116"/>
      <c r="S17" s="116"/>
      <c r="T17" s="116"/>
      <c r="U17" s="116"/>
      <c r="V17" s="116"/>
      <c r="W17" s="116"/>
    </row>
    <row r="18" spans="1:34" ht="15" customHeight="1" x14ac:dyDescent="0.25">
      <c r="A18" s="167" t="s">
        <v>71</v>
      </c>
      <c r="B18" s="168">
        <v>7</v>
      </c>
      <c r="C18" s="169" t="s">
        <v>6</v>
      </c>
      <c r="D18" s="36">
        <f>B18</f>
        <v>7</v>
      </c>
      <c r="E18" s="40" t="s">
        <v>6</v>
      </c>
      <c r="F18" s="110"/>
      <c r="G18" s="115"/>
      <c r="H18" s="70"/>
      <c r="I18" s="70">
        <v>11</v>
      </c>
      <c r="J18" s="69"/>
      <c r="K18" s="70">
        <v>11</v>
      </c>
      <c r="L18" s="69"/>
      <c r="M18" s="70"/>
      <c r="N18" s="111"/>
      <c r="O18" s="116"/>
      <c r="P18" s="116"/>
      <c r="Q18" s="116"/>
      <c r="R18" s="116"/>
      <c r="S18" s="116"/>
      <c r="T18" s="116"/>
      <c r="U18" s="116"/>
      <c r="V18" s="116"/>
      <c r="W18" s="116"/>
    </row>
    <row r="19" spans="1:34" ht="15" customHeight="1" x14ac:dyDescent="0.25">
      <c r="A19" s="167" t="s">
        <v>69</v>
      </c>
      <c r="B19" s="168">
        <v>8</v>
      </c>
      <c r="C19" s="169" t="s">
        <v>6</v>
      </c>
      <c r="D19" s="36">
        <v>0</v>
      </c>
      <c r="E19" s="40" t="s">
        <v>6</v>
      </c>
      <c r="F19" s="69"/>
      <c r="G19" s="69"/>
      <c r="H19" s="70"/>
      <c r="I19" s="70">
        <v>12</v>
      </c>
      <c r="J19" s="69"/>
      <c r="K19" s="70">
        <v>12</v>
      </c>
      <c r="L19" s="69"/>
      <c r="M19" s="69"/>
      <c r="N19" s="111"/>
      <c r="O19" s="116"/>
      <c r="P19" s="116"/>
      <c r="Q19" s="116"/>
      <c r="R19" s="116"/>
      <c r="S19" s="116"/>
      <c r="T19" s="116"/>
      <c r="U19" s="116"/>
      <c r="V19" s="116"/>
      <c r="W19" s="116"/>
    </row>
    <row r="20" spans="1:34" ht="15" customHeight="1" x14ac:dyDescent="0.25">
      <c r="A20" s="167" t="s">
        <v>123</v>
      </c>
      <c r="B20" s="168" t="s">
        <v>126</v>
      </c>
      <c r="C20" s="169" t="s">
        <v>74</v>
      </c>
      <c r="D20" s="36">
        <f>IF(B20=H3,0,IF(B20=H4,1))</f>
        <v>1</v>
      </c>
      <c r="E20" s="42"/>
      <c r="F20" s="69"/>
      <c r="G20" s="69"/>
      <c r="H20" s="70"/>
      <c r="I20" s="70">
        <v>13</v>
      </c>
      <c r="J20" s="69"/>
      <c r="K20" s="69"/>
      <c r="L20" s="69"/>
      <c r="M20" s="69"/>
      <c r="N20" s="111"/>
      <c r="O20" s="116"/>
      <c r="P20" s="116"/>
      <c r="Q20" s="116"/>
      <c r="R20" s="116"/>
      <c r="S20" s="116"/>
      <c r="T20" s="116"/>
      <c r="U20" s="116"/>
      <c r="V20" s="116"/>
      <c r="W20" s="116"/>
    </row>
    <row r="21" spans="1:34" ht="15" customHeight="1" x14ac:dyDescent="0.25">
      <c r="A21" s="167" t="s">
        <v>121</v>
      </c>
      <c r="B21" s="168" t="s">
        <v>127</v>
      </c>
      <c r="C21" s="169" t="s">
        <v>74</v>
      </c>
      <c r="D21" s="36">
        <f>IF(B21=J3,0,IF(B21=J4,1,IF(B21=J5,2,IF(B21=J6,3,IF(B21=J7,4,IF(B21=J8,5))))))</f>
        <v>1</v>
      </c>
      <c r="E21" s="42" t="s">
        <v>6</v>
      </c>
      <c r="F21" s="69"/>
      <c r="G21" s="69"/>
      <c r="H21" s="70"/>
      <c r="I21" s="70">
        <v>14</v>
      </c>
      <c r="J21" s="69"/>
      <c r="K21" s="70"/>
      <c r="L21" s="69"/>
      <c r="M21" s="69"/>
      <c r="N21" s="111"/>
      <c r="O21" s="116"/>
      <c r="P21" s="116"/>
      <c r="Q21" s="116"/>
      <c r="R21" s="116"/>
      <c r="S21" s="116"/>
      <c r="T21" s="116"/>
      <c r="U21" s="116"/>
      <c r="V21" s="116"/>
      <c r="W21" s="116"/>
    </row>
    <row r="22" spans="1:34" ht="15" customHeight="1" x14ac:dyDescent="0.25">
      <c r="A22" s="167" t="s">
        <v>72</v>
      </c>
      <c r="B22" s="168">
        <v>60</v>
      </c>
      <c r="C22" s="169" t="s">
        <v>74</v>
      </c>
      <c r="D22" s="36">
        <f>B22</f>
        <v>60</v>
      </c>
      <c r="E22" s="42"/>
      <c r="F22" s="115"/>
      <c r="G22" s="69"/>
      <c r="H22" s="70"/>
      <c r="I22" s="69"/>
      <c r="J22" s="69"/>
      <c r="K22" s="70"/>
      <c r="L22" s="69"/>
      <c r="M22" s="69"/>
      <c r="N22" s="111"/>
      <c r="O22" s="116"/>
      <c r="P22" s="116"/>
      <c r="Q22" s="116"/>
      <c r="R22" s="116"/>
      <c r="S22" s="116"/>
      <c r="T22" s="116"/>
      <c r="U22" s="116"/>
      <c r="V22" s="116"/>
      <c r="W22" s="116"/>
    </row>
    <row r="23" spans="1:34" ht="15" customHeight="1" x14ac:dyDescent="0.25">
      <c r="A23" s="167" t="s">
        <v>73</v>
      </c>
      <c r="B23" s="168">
        <v>40</v>
      </c>
      <c r="C23" s="169" t="s">
        <v>74</v>
      </c>
      <c r="D23" s="36">
        <f>B23</f>
        <v>40</v>
      </c>
      <c r="E23" s="42"/>
      <c r="F23" s="40"/>
      <c r="G23" s="69"/>
      <c r="H23" s="70"/>
      <c r="I23" s="70"/>
      <c r="J23" s="69"/>
      <c r="K23" s="70"/>
      <c r="L23" s="69"/>
      <c r="M23" s="69"/>
      <c r="N23" s="111"/>
      <c r="O23" s="116"/>
      <c r="P23" s="116"/>
      <c r="Q23" s="116"/>
      <c r="R23" s="116"/>
      <c r="S23" s="116"/>
      <c r="T23" s="116"/>
      <c r="U23" s="116"/>
      <c r="V23" s="116"/>
      <c r="W23" s="116"/>
    </row>
    <row r="24" spans="1:34" ht="15" customHeight="1" x14ac:dyDescent="0.25">
      <c r="A24" s="167" t="s">
        <v>89</v>
      </c>
      <c r="B24" s="168">
        <v>75</v>
      </c>
      <c r="C24" s="169" t="s">
        <v>74</v>
      </c>
      <c r="D24" s="36">
        <f>1.6*B24</f>
        <v>120</v>
      </c>
      <c r="E24" s="40"/>
      <c r="F24" s="69"/>
      <c r="G24" s="69"/>
      <c r="H24" s="54" t="s">
        <v>90</v>
      </c>
      <c r="I24" s="54" t="s">
        <v>91</v>
      </c>
      <c r="J24" s="54" t="s">
        <v>95</v>
      </c>
      <c r="K24" s="54"/>
      <c r="L24" s="69"/>
      <c r="M24" s="54"/>
      <c r="N24" s="111"/>
      <c r="O24" s="146"/>
      <c r="P24" s="116"/>
      <c r="Q24" s="116"/>
      <c r="R24" s="116"/>
      <c r="S24" s="116"/>
      <c r="T24" s="116"/>
      <c r="U24" s="116"/>
      <c r="V24" s="116"/>
      <c r="W24" s="116"/>
    </row>
    <row r="25" spans="1:34" ht="15" customHeight="1" x14ac:dyDescent="0.25">
      <c r="A25" s="167" t="s">
        <v>122</v>
      </c>
      <c r="B25" s="168" t="s">
        <v>131</v>
      </c>
      <c r="C25" s="169" t="s">
        <v>6</v>
      </c>
      <c r="D25" s="36" t="b">
        <f>IF(B25=H6,0,IF(B25=H7,1,IF(B25=H8,2)))</f>
        <v>0</v>
      </c>
      <c r="E25" s="153">
        <f>IF(B25="AL Disable", 0,IF(B25="CL-1",B18-1,IF(B25="CL-2",B18-2,0)))</f>
        <v>0</v>
      </c>
      <c r="F25" s="154">
        <f>E25+B26</f>
        <v>6</v>
      </c>
      <c r="G25" s="69"/>
      <c r="H25" s="70" t="s">
        <v>125</v>
      </c>
      <c r="I25" s="70" t="s">
        <v>114</v>
      </c>
      <c r="J25" s="70" t="s">
        <v>87</v>
      </c>
      <c r="K25" s="70"/>
      <c r="L25" s="69"/>
      <c r="M25" s="70"/>
      <c r="N25" s="111"/>
      <c r="O25" s="147"/>
      <c r="P25" s="116"/>
      <c r="Q25" s="116"/>
      <c r="R25" s="116"/>
      <c r="S25" s="116"/>
      <c r="T25" s="116"/>
      <c r="U25" s="116"/>
      <c r="V25" s="116"/>
      <c r="W25" s="116"/>
    </row>
    <row r="26" spans="1:34" ht="15" customHeight="1" x14ac:dyDescent="0.25">
      <c r="A26" s="167" t="s">
        <v>70</v>
      </c>
      <c r="B26" s="168">
        <v>6</v>
      </c>
      <c r="C26" s="169" t="s">
        <v>6</v>
      </c>
      <c r="D26" s="36">
        <f>B26-5</f>
        <v>1</v>
      </c>
      <c r="E26" s="40"/>
      <c r="F26" s="114"/>
      <c r="G26" s="69"/>
      <c r="H26" s="70" t="s">
        <v>126</v>
      </c>
      <c r="I26" s="70" t="s">
        <v>92</v>
      </c>
      <c r="J26" s="70">
        <v>16</v>
      </c>
      <c r="K26" s="70"/>
      <c r="L26" s="69"/>
      <c r="M26" s="70"/>
      <c r="N26" s="111"/>
      <c r="O26" s="147"/>
      <c r="P26" s="116"/>
      <c r="Q26" s="116"/>
      <c r="R26" s="116"/>
      <c r="S26" s="116"/>
      <c r="T26" s="116"/>
      <c r="U26" s="116"/>
      <c r="V26" s="116"/>
      <c r="W26" s="116"/>
    </row>
    <row r="27" spans="1:34" ht="15" customHeight="1" x14ac:dyDescent="0.25">
      <c r="A27" s="167" t="s">
        <v>88</v>
      </c>
      <c r="B27" s="168">
        <v>80000000</v>
      </c>
      <c r="C27" s="169" t="s">
        <v>116</v>
      </c>
      <c r="D27" s="36">
        <f>HEX2DEC(B27)</f>
        <v>2147483648</v>
      </c>
      <c r="E27" s="42"/>
      <c r="F27" s="69"/>
      <c r="G27" s="69"/>
      <c r="H27" s="69"/>
      <c r="I27" s="70" t="s">
        <v>93</v>
      </c>
      <c r="J27" s="70">
        <v>5</v>
      </c>
      <c r="K27" s="70"/>
      <c r="L27" s="69"/>
      <c r="M27" s="70"/>
      <c r="N27" s="111"/>
      <c r="O27" s="147"/>
    </row>
    <row r="28" spans="1:34" ht="15.75" thickBot="1" x14ac:dyDescent="0.3">
      <c r="D28" s="116"/>
      <c r="E28" s="116"/>
      <c r="F28" s="116"/>
      <c r="G28" s="116"/>
      <c r="H28" s="116"/>
      <c r="I28" s="116"/>
      <c r="J28" s="116"/>
      <c r="K28" s="116"/>
      <c r="L28" s="116"/>
      <c r="M28" s="116"/>
      <c r="N28" s="116"/>
    </row>
    <row r="29" spans="1:34" ht="30" customHeight="1" thickBot="1" x14ac:dyDescent="0.3">
      <c r="A29" s="71" t="s">
        <v>23</v>
      </c>
      <c r="B29" s="71" t="s">
        <v>24</v>
      </c>
      <c r="C29" s="117">
        <v>31</v>
      </c>
      <c r="D29" s="117">
        <v>30</v>
      </c>
      <c r="E29" s="117">
        <v>29</v>
      </c>
      <c r="F29" s="117">
        <v>28</v>
      </c>
      <c r="G29" s="117">
        <v>27</v>
      </c>
      <c r="H29" s="117">
        <v>26</v>
      </c>
      <c r="I29" s="117">
        <v>25</v>
      </c>
      <c r="J29" s="117">
        <v>24</v>
      </c>
      <c r="K29" s="117">
        <v>23</v>
      </c>
      <c r="L29" s="117">
        <v>22</v>
      </c>
      <c r="M29" s="117">
        <v>21</v>
      </c>
      <c r="N29" s="117">
        <v>20</v>
      </c>
      <c r="O29" s="117">
        <v>19</v>
      </c>
      <c r="P29" s="117">
        <v>18</v>
      </c>
      <c r="Q29" s="117">
        <v>17</v>
      </c>
      <c r="R29" s="117">
        <v>16</v>
      </c>
      <c r="S29" s="117">
        <v>15</v>
      </c>
      <c r="T29" s="117">
        <v>14</v>
      </c>
      <c r="U29" s="117">
        <v>13</v>
      </c>
      <c r="V29" s="117">
        <v>12</v>
      </c>
      <c r="W29" s="117">
        <v>11</v>
      </c>
      <c r="X29" s="117">
        <v>10</v>
      </c>
      <c r="Y29" s="117">
        <v>9</v>
      </c>
      <c r="Z29" s="117">
        <v>8</v>
      </c>
      <c r="AA29" s="117">
        <v>7</v>
      </c>
      <c r="AB29" s="117">
        <v>6</v>
      </c>
      <c r="AC29" s="117">
        <v>5</v>
      </c>
      <c r="AD29" s="117">
        <v>4</v>
      </c>
      <c r="AE29" s="117">
        <v>3</v>
      </c>
      <c r="AF29" s="117">
        <v>2</v>
      </c>
      <c r="AG29" s="117">
        <v>1</v>
      </c>
      <c r="AH29" s="117">
        <v>0</v>
      </c>
    </row>
    <row r="30" spans="1:34" ht="15.75" thickBot="1" x14ac:dyDescent="0.3">
      <c r="A30" s="46"/>
      <c r="B30" s="46"/>
      <c r="C30" s="118"/>
      <c r="D30" s="118"/>
      <c r="E30" s="118"/>
      <c r="F30" s="118"/>
      <c r="G30" s="118"/>
      <c r="H30" s="118"/>
      <c r="I30" s="118"/>
      <c r="J30" s="118"/>
      <c r="K30" s="118"/>
      <c r="L30" s="118"/>
      <c r="M30" s="118"/>
      <c r="N30" s="118"/>
      <c r="O30" s="118"/>
      <c r="P30" s="118"/>
      <c r="Q30" s="118"/>
      <c r="R30" s="118"/>
      <c r="S30" s="118"/>
      <c r="T30" s="118"/>
      <c r="U30" s="118"/>
      <c r="V30" s="118"/>
      <c r="W30" s="118"/>
      <c r="X30" s="118"/>
      <c r="Y30" s="118"/>
      <c r="Z30" s="118"/>
      <c r="AA30" s="118"/>
      <c r="AB30" s="118"/>
      <c r="AC30" s="118"/>
      <c r="AD30" s="118"/>
      <c r="AE30" s="118"/>
      <c r="AF30" s="118"/>
      <c r="AG30" s="118"/>
      <c r="AH30" s="119"/>
    </row>
    <row r="31" spans="1:34" ht="15.75" thickBot="1" x14ac:dyDescent="0.3">
      <c r="A31" s="170" t="s">
        <v>25</v>
      </c>
      <c r="B31" s="175" t="str">
        <f xml:space="preserve"> DEC2HEX(AH32 + AG32*2 + AF32*2^2 + AE32*2^3 + AD32*2^4 + AC32*2^5 + AB32*2^6 + AA32*2^7 + Z32*2^8 + Y32*2^9 + X32*2^10 + W32*2^11 + V32*2^12+ U32*2^13 + T32*2^14 + S32*2^15 + R32*2^16 + Q32*2^17 + P32*2^18 + O32*2^19 + N32*2^20 + M32*2^21 + L32*2^22 + K32*2^23 + J32*2^24 + I32*2^25 + H32*2^26 + G32*2^27 + F32*2^28 +  E32*2^29 +  D32*2^30 + C32*2^31,8)</f>
        <v>00000405</v>
      </c>
      <c r="C31" s="179" t="s">
        <v>26</v>
      </c>
      <c r="D31" s="180"/>
      <c r="E31" s="180"/>
      <c r="F31" s="180"/>
      <c r="G31" s="180"/>
      <c r="H31" s="181"/>
      <c r="I31" s="72" t="s">
        <v>27</v>
      </c>
      <c r="J31" s="73" t="s">
        <v>28</v>
      </c>
      <c r="K31" s="179" t="s">
        <v>26</v>
      </c>
      <c r="L31" s="180"/>
      <c r="M31" s="180"/>
      <c r="N31" s="180"/>
      <c r="O31" s="180"/>
      <c r="P31" s="180"/>
      <c r="Q31" s="180"/>
      <c r="R31" s="180"/>
      <c r="S31" s="180"/>
      <c r="T31" s="181"/>
      <c r="U31" s="73" t="s">
        <v>29</v>
      </c>
      <c r="V31" s="73" t="s">
        <v>30</v>
      </c>
      <c r="W31" s="189" t="s">
        <v>31</v>
      </c>
      <c r="X31" s="190"/>
      <c r="Y31" s="191"/>
      <c r="Z31" s="72" t="s">
        <v>32</v>
      </c>
      <c r="AA31" s="73" t="s">
        <v>33</v>
      </c>
      <c r="AB31" s="73" t="s">
        <v>34</v>
      </c>
      <c r="AC31" s="73" t="s">
        <v>117</v>
      </c>
      <c r="AD31" s="73" t="s">
        <v>118</v>
      </c>
      <c r="AE31" s="73" t="s">
        <v>119</v>
      </c>
      <c r="AF31" s="91" t="s">
        <v>38</v>
      </c>
      <c r="AG31" s="91" t="s">
        <v>120</v>
      </c>
      <c r="AH31" s="91" t="s">
        <v>40</v>
      </c>
    </row>
    <row r="32" spans="1:34" ht="15.75" thickBot="1" x14ac:dyDescent="0.3">
      <c r="A32" s="171"/>
      <c r="B32" s="176"/>
      <c r="C32" s="182"/>
      <c r="D32" s="183"/>
      <c r="E32" s="183"/>
      <c r="F32" s="183"/>
      <c r="G32" s="183"/>
      <c r="H32" s="184"/>
      <c r="I32" s="74">
        <v>0</v>
      </c>
      <c r="J32" s="74">
        <v>0</v>
      </c>
      <c r="K32" s="182"/>
      <c r="L32" s="183"/>
      <c r="M32" s="183"/>
      <c r="N32" s="183"/>
      <c r="O32" s="183"/>
      <c r="P32" s="183"/>
      <c r="Q32" s="183"/>
      <c r="R32" s="183"/>
      <c r="S32" s="183"/>
      <c r="T32" s="184"/>
      <c r="U32" s="74">
        <v>0</v>
      </c>
      <c r="V32" s="74">
        <v>0</v>
      </c>
      <c r="W32" s="75">
        <v>0</v>
      </c>
      <c r="X32" s="76">
        <v>1</v>
      </c>
      <c r="Y32" s="81">
        <v>0</v>
      </c>
      <c r="Z32" s="74">
        <v>0</v>
      </c>
      <c r="AA32" s="74">
        <v>0</v>
      </c>
      <c r="AB32" s="74">
        <v>0</v>
      </c>
      <c r="AC32" s="74">
        <v>0</v>
      </c>
      <c r="AD32" s="74">
        <v>0</v>
      </c>
      <c r="AE32" s="74">
        <v>0</v>
      </c>
      <c r="AF32" s="74">
        <v>1</v>
      </c>
      <c r="AG32" s="74">
        <v>0</v>
      </c>
      <c r="AH32" s="74">
        <v>1</v>
      </c>
    </row>
    <row r="33" spans="1:35" ht="15.75" thickBot="1" x14ac:dyDescent="0.3">
      <c r="A33" s="120"/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</row>
    <row r="34" spans="1:35" ht="15.75" thickBot="1" x14ac:dyDescent="0.3">
      <c r="A34" s="185" t="s">
        <v>41</v>
      </c>
      <c r="B34" s="187" t="str">
        <f xml:space="preserve"> DEC2HEX(AH35 + AG35*2 + AF35*2^2 + AE35*2^3 + AD35*2^4 + AC35*2^5 + AB35*2^6 + AA35*2^7 + Z35*2^8 + Y35*2^9 + X35*2^10 + W35*2^11 + V35*2^12+ U35*2^13 + T35*2^14 + S35*2^15 + R35*2^16 + Q35*2^17 + P35*2^18 + O35*2^19 + N35*2^20 + M35*2^21 + L35*2^22 + K35*2^23 + J35*2^24 + I35*2^25 + H35*2^26 + G35*2^27 + F35*2^28 +  E35*2^29 +  D35*2^30 + C35*2^31,8)</f>
        <v>00000522</v>
      </c>
      <c r="C34" s="179" t="s">
        <v>26</v>
      </c>
      <c r="D34" s="180"/>
      <c r="E34" s="180"/>
      <c r="F34" s="180"/>
      <c r="G34" s="180"/>
      <c r="H34" s="180"/>
      <c r="I34" s="180"/>
      <c r="J34" s="180"/>
      <c r="K34" s="180"/>
      <c r="L34" s="180"/>
      <c r="M34" s="180"/>
      <c r="N34" s="180"/>
      <c r="O34" s="180"/>
      <c r="P34" s="180"/>
      <c r="Q34" s="180"/>
      <c r="R34" s="181"/>
      <c r="S34" s="189" t="s">
        <v>42</v>
      </c>
      <c r="T34" s="190"/>
      <c r="U34" s="190"/>
      <c r="V34" s="191"/>
      <c r="W34" s="189" t="s">
        <v>43</v>
      </c>
      <c r="X34" s="190"/>
      <c r="Y34" s="190"/>
      <c r="Z34" s="191"/>
      <c r="AA34" s="189" t="s">
        <v>44</v>
      </c>
      <c r="AB34" s="190"/>
      <c r="AC34" s="190"/>
      <c r="AD34" s="191"/>
      <c r="AE34" s="189" t="s">
        <v>45</v>
      </c>
      <c r="AF34" s="190"/>
      <c r="AG34" s="190"/>
      <c r="AH34" s="191"/>
    </row>
    <row r="35" spans="1:35" ht="15.75" thickBot="1" x14ac:dyDescent="0.3">
      <c r="A35" s="186"/>
      <c r="B35" s="188"/>
      <c r="C35" s="182"/>
      <c r="D35" s="183"/>
      <c r="E35" s="183"/>
      <c r="F35" s="183"/>
      <c r="G35" s="183"/>
      <c r="H35" s="183"/>
      <c r="I35" s="183"/>
      <c r="J35" s="183"/>
      <c r="K35" s="183"/>
      <c r="L35" s="183"/>
      <c r="M35" s="183"/>
      <c r="N35" s="183"/>
      <c r="O35" s="183"/>
      <c r="P35" s="183"/>
      <c r="Q35" s="183"/>
      <c r="R35" s="184"/>
      <c r="S35" s="75">
        <v>0</v>
      </c>
      <c r="T35" s="76">
        <v>0</v>
      </c>
      <c r="U35" s="76">
        <v>0</v>
      </c>
      <c r="V35" s="77">
        <v>0</v>
      </c>
      <c r="W35" s="75">
        <f>MOD(INT(D3/8),2)</f>
        <v>0</v>
      </c>
      <c r="X35" s="76">
        <f xml:space="preserve"> MOD(INT(D3/4),2)</f>
        <v>1</v>
      </c>
      <c r="Y35" s="76">
        <f>MOD(INT(D3/2),2)</f>
        <v>0</v>
      </c>
      <c r="Z35" s="77">
        <f xml:space="preserve"> MOD(D3,2)</f>
        <v>1</v>
      </c>
      <c r="AA35" s="78">
        <v>0</v>
      </c>
      <c r="AB35" s="79">
        <v>0</v>
      </c>
      <c r="AC35" s="80">
        <v>1</v>
      </c>
      <c r="AD35" s="77">
        <v>0</v>
      </c>
      <c r="AE35" s="78">
        <v>0</v>
      </c>
      <c r="AF35" s="79">
        <v>0</v>
      </c>
      <c r="AG35" s="76">
        <v>1</v>
      </c>
      <c r="AH35" s="77">
        <v>0</v>
      </c>
    </row>
    <row r="36" spans="1:35" ht="15.75" thickBot="1" x14ac:dyDescent="0.3">
      <c r="A36" s="120"/>
      <c r="B36" s="88"/>
      <c r="C36" s="88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</row>
    <row r="37" spans="1:35" ht="15.75" thickBot="1" x14ac:dyDescent="0.3">
      <c r="A37" s="185" t="s">
        <v>46</v>
      </c>
      <c r="B37" s="187" t="str">
        <f xml:space="preserve"> DEC2HEX(AH38 + AG38*2 + AF38*2^2 + AE38*2^3 + AD38*2^4 + AC38*2^5 + AB38*2^6 + AA38*2^7 + Z38*2^8 + Y38*2^9 + X38*2^10 + W38*2^11 + V38*2^12+ U38*2^13 + T38*2^14 + S38*2^15 + R38*2^16 + Q38*2^17 + P38*2^18 + O38*2^19 + N38*2^20 + M38*2^21 + L38*2^22 + K38*2^23 + J38*2^24 + I38*2^25 + H38*2^26 + G38*2^27 + F38*2^28 +  E38*2^29 +  D38*2^30 + C38*2^31,8)</f>
        <v>41711646</v>
      </c>
      <c r="C37" s="172" t="s">
        <v>21</v>
      </c>
      <c r="D37" s="173"/>
      <c r="E37" s="173"/>
      <c r="F37" s="174"/>
      <c r="G37" s="179" t="s">
        <v>26</v>
      </c>
      <c r="H37" s="181"/>
      <c r="I37" s="189" t="s">
        <v>20</v>
      </c>
      <c r="J37" s="190"/>
      <c r="K37" s="190"/>
      <c r="L37" s="190"/>
      <c r="M37" s="190"/>
      <c r="N37" s="191"/>
      <c r="O37" s="179" t="s">
        <v>26</v>
      </c>
      <c r="P37" s="180"/>
      <c r="Q37" s="181"/>
      <c r="R37" s="189" t="s">
        <v>19</v>
      </c>
      <c r="S37" s="190"/>
      <c r="T37" s="190"/>
      <c r="U37" s="190"/>
      <c r="V37" s="191"/>
      <c r="W37" s="189" t="s">
        <v>18</v>
      </c>
      <c r="X37" s="190"/>
      <c r="Y37" s="190"/>
      <c r="Z37" s="191"/>
      <c r="AA37" s="189" t="s">
        <v>17</v>
      </c>
      <c r="AB37" s="190"/>
      <c r="AC37" s="190"/>
      <c r="AD37" s="191"/>
      <c r="AE37" s="189" t="s">
        <v>16</v>
      </c>
      <c r="AF37" s="190"/>
      <c r="AG37" s="190"/>
      <c r="AH37" s="191"/>
    </row>
    <row r="38" spans="1:35" ht="15.75" thickBot="1" x14ac:dyDescent="0.3">
      <c r="A38" s="186"/>
      <c r="B38" s="188"/>
      <c r="C38" s="78">
        <f>MOD(INT(D9/8),2)</f>
        <v>0</v>
      </c>
      <c r="D38" s="79">
        <f>MOD(INT(D9/4),2)</f>
        <v>1</v>
      </c>
      <c r="E38" s="80">
        <f>MOD(INT(D9/2),2)</f>
        <v>0</v>
      </c>
      <c r="F38" s="77">
        <f>MOD(D9,2)</f>
        <v>0</v>
      </c>
      <c r="G38" s="182"/>
      <c r="H38" s="184"/>
      <c r="I38" s="75">
        <f>MOD(INT(D8/32),2)</f>
        <v>0</v>
      </c>
      <c r="J38" s="76">
        <f>MOD(INT(D8/16),2)</f>
        <v>1</v>
      </c>
      <c r="K38" s="76">
        <f>MOD(INT(D8/8),2)</f>
        <v>0</v>
      </c>
      <c r="L38" s="76">
        <f>MOD(INT(D8/4),2)</f>
        <v>1</v>
      </c>
      <c r="M38" s="76">
        <f>MOD(INT(D8/2),2)</f>
        <v>1</v>
      </c>
      <c r="N38" s="77">
        <f>MOD(D8,2)</f>
        <v>1</v>
      </c>
      <c r="O38" s="182"/>
      <c r="P38" s="183"/>
      <c r="Q38" s="184"/>
      <c r="R38" s="78">
        <f>MOD(INT(D7/16),2)</f>
        <v>1</v>
      </c>
      <c r="S38" s="76">
        <f>MOD(INT(D7/8),2)</f>
        <v>0</v>
      </c>
      <c r="T38" s="79">
        <f>MOD(INT(D7/4),2)</f>
        <v>0</v>
      </c>
      <c r="U38" s="80">
        <f>MOD(INT(D7/2),2)</f>
        <v>0</v>
      </c>
      <c r="V38" s="77">
        <f>MOD(D7,2)</f>
        <v>1</v>
      </c>
      <c r="W38" s="75">
        <f>MOD(INT(D6/8),2)</f>
        <v>0</v>
      </c>
      <c r="X38" s="80">
        <f>MOD(INT(D6/4),2)</f>
        <v>1</v>
      </c>
      <c r="Y38" s="76">
        <f>MOD(INT(D6/2),2)</f>
        <v>1</v>
      </c>
      <c r="Z38" s="81">
        <f>MOD(D6,2)</f>
        <v>0</v>
      </c>
      <c r="AA38" s="75">
        <f>MOD(INT(D5/8),2)</f>
        <v>0</v>
      </c>
      <c r="AB38" s="76">
        <f>MOD(INT(D5/4),2)</f>
        <v>1</v>
      </c>
      <c r="AC38" s="76">
        <f>MOD(INT(D5/2),2)</f>
        <v>0</v>
      </c>
      <c r="AD38" s="81">
        <f>MOD(D5,2)</f>
        <v>0</v>
      </c>
      <c r="AE38" s="75">
        <f>MOD(INT(D4/8),2)</f>
        <v>0</v>
      </c>
      <c r="AF38" s="80">
        <f>MOD(INT(D4/4),2)</f>
        <v>1</v>
      </c>
      <c r="AG38" s="80">
        <f>MOD(INT(D4/2),2)</f>
        <v>1</v>
      </c>
      <c r="AH38" s="77">
        <f>MOD(D4,2)</f>
        <v>0</v>
      </c>
    </row>
    <row r="39" spans="1:35" ht="15.75" thickBot="1" x14ac:dyDescent="0.3">
      <c r="A39" s="120"/>
      <c r="B39" s="88"/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  <c r="AF39" s="88"/>
      <c r="AG39" s="88"/>
      <c r="AH39" s="88"/>
    </row>
    <row r="40" spans="1:35" ht="15.75" thickBot="1" x14ac:dyDescent="0.3">
      <c r="A40" s="185" t="s">
        <v>47</v>
      </c>
      <c r="B40" s="205" t="str">
        <f xml:space="preserve"> DEC2HEX(AH41+AG41*2+AF41*2^2+AE41*2^3+AD41*2^4+AC41*2^5+AB41*2^6+AA41*2^7+Z41*2^8+Y41*2^9+X41*2^10+W41*2^11+V41*2^12+U41*2^13+T41*2^14+S41*2^15+R41*2^16+Q41*2^17+P41*2^18+O41*2^19+N41*2^20+M41*2^21+L41*2^22+K41*2^23+J41*2^24+I41*2^25+H41*2^26+G41*2^27+F41*2^28+E41*2^29+D41*2^30+C41*2^31,8)</f>
        <v>40480DB6</v>
      </c>
      <c r="C40" s="195" t="s">
        <v>26</v>
      </c>
      <c r="D40" s="189" t="s">
        <v>15</v>
      </c>
      <c r="E40" s="190"/>
      <c r="F40" s="191"/>
      <c r="G40" s="179" t="s">
        <v>26</v>
      </c>
      <c r="H40" s="180"/>
      <c r="I40" s="180"/>
      <c r="J40" s="181"/>
      <c r="K40" s="172" t="s">
        <v>14</v>
      </c>
      <c r="L40" s="173"/>
      <c r="M40" s="173"/>
      <c r="N40" s="173"/>
      <c r="O40" s="173"/>
      <c r="P40" s="173"/>
      <c r="Q40" s="173"/>
      <c r="R40" s="174"/>
      <c r="S40" s="179" t="s">
        <v>26</v>
      </c>
      <c r="T40" s="181"/>
      <c r="U40" s="189" t="s">
        <v>13</v>
      </c>
      <c r="V40" s="190"/>
      <c r="W40" s="190"/>
      <c r="X40" s="190"/>
      <c r="Y40" s="190"/>
      <c r="Z40" s="190"/>
      <c r="AA40" s="190"/>
      <c r="AB40" s="190"/>
      <c r="AC40" s="190"/>
      <c r="AD40" s="190"/>
      <c r="AE40" s="190"/>
      <c r="AF40" s="190"/>
      <c r="AG40" s="190"/>
      <c r="AH40" s="191"/>
    </row>
    <row r="41" spans="1:35" ht="15.75" thickBot="1" x14ac:dyDescent="0.3">
      <c r="A41" s="186"/>
      <c r="B41" s="206"/>
      <c r="C41" s="196"/>
      <c r="D41" s="82">
        <f>MOD(INT(D12/4),2)</f>
        <v>1</v>
      </c>
      <c r="E41" s="83">
        <f>MOD(INT(D12/2),2)</f>
        <v>0</v>
      </c>
      <c r="F41" s="84">
        <f>MOD(D12,2)</f>
        <v>0</v>
      </c>
      <c r="G41" s="182"/>
      <c r="H41" s="183"/>
      <c r="I41" s="183"/>
      <c r="J41" s="184"/>
      <c r="K41" s="82">
        <f>MOD(INT(D11/128),2)</f>
        <v>0</v>
      </c>
      <c r="L41" s="83">
        <f>MOD(INT(D11/64),2)</f>
        <v>1</v>
      </c>
      <c r="M41" s="83">
        <f>MOD(INT(D11/32),2)</f>
        <v>0</v>
      </c>
      <c r="N41" s="83">
        <f>MOD(INT(D11/16),2)</f>
        <v>0</v>
      </c>
      <c r="O41" s="85">
        <f>MOD(INT(D11/8),2)</f>
        <v>1</v>
      </c>
      <c r="P41" s="85">
        <f>MOD(INT(D11/4),2)</f>
        <v>0</v>
      </c>
      <c r="Q41" s="85">
        <f>MOD(INT(D11/2),2)</f>
        <v>0</v>
      </c>
      <c r="R41" s="86">
        <f>MOD(D11,2)</f>
        <v>0</v>
      </c>
      <c r="S41" s="182"/>
      <c r="T41" s="184"/>
      <c r="U41" s="82">
        <f>MOD(INT(D10/8192),2)</f>
        <v>0</v>
      </c>
      <c r="V41" s="83">
        <f>MOD(INT(D10/4096),2)</f>
        <v>0</v>
      </c>
      <c r="W41" s="83">
        <f>MOD(INT(D10/2048),2)</f>
        <v>1</v>
      </c>
      <c r="X41" s="83">
        <f>MOD(INT(D10/1024),2)</f>
        <v>1</v>
      </c>
      <c r="Y41" s="83">
        <f>MOD(INT(D10/512),2)</f>
        <v>0</v>
      </c>
      <c r="Z41" s="83">
        <f>MOD(INT(D10/256),2)</f>
        <v>1</v>
      </c>
      <c r="AA41" s="83">
        <f>MOD(INT(D10/128),2)</f>
        <v>1</v>
      </c>
      <c r="AB41" s="83">
        <f>MOD(INT(D10/64),2)</f>
        <v>0</v>
      </c>
      <c r="AC41" s="83">
        <f>MOD(INT(D10/32),2)</f>
        <v>1</v>
      </c>
      <c r="AD41" s="83">
        <f>MOD(INT(D10/16),2)</f>
        <v>1</v>
      </c>
      <c r="AE41" s="85">
        <f>MOD(INT(D10/8),2)</f>
        <v>0</v>
      </c>
      <c r="AF41" s="87">
        <f>MOD(INT(D10/4),2)</f>
        <v>1</v>
      </c>
      <c r="AG41" s="83">
        <f>MOD(INT(D10/2),2)</f>
        <v>1</v>
      </c>
      <c r="AH41" s="84">
        <f>MOD(D10,2)</f>
        <v>0</v>
      </c>
    </row>
    <row r="42" spans="1:35" ht="15.75" thickBot="1" x14ac:dyDescent="0.3">
      <c r="A42" s="46"/>
      <c r="B42" s="88"/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9"/>
      <c r="AE42" s="88"/>
      <c r="AF42" s="88"/>
      <c r="AG42" s="88"/>
      <c r="AH42" s="88"/>
    </row>
    <row r="43" spans="1:35" ht="15.75" thickBot="1" x14ac:dyDescent="0.3">
      <c r="A43" s="177" t="s">
        <v>48</v>
      </c>
      <c r="B43" s="187" t="str">
        <f xml:space="preserve"> DEC2HEX(AH44 + AG44*2 + AF44*2^2 + AE44*2^3 + AD44*2^4 + AC44*2^5 + AB44*2^6 + AA44*2^7 + Z44*2^8 + Y44*2^9 + X44*2^10 + W44*2^11 + V44*2^12+ U44*2^13 + T44*2^14 + S44*2^15 + R44*2^16 + Q44*2^17 + P44*2^18 + O44*2^19 + N44*2^20 + M44*2^21 + L44*2^22 + K44*2^23 + J44*2^24 + I44*2^25 + H44*2^26 + G44*2^27 + F44*2^28 +  E44*2^29 +  D44*2^30 + C44*2^31,8)</f>
        <v>00347417</v>
      </c>
      <c r="C43" s="179" t="s">
        <v>26</v>
      </c>
      <c r="D43" s="180"/>
      <c r="E43" s="180"/>
      <c r="F43" s="180"/>
      <c r="G43" s="180"/>
      <c r="H43" s="180"/>
      <c r="I43" s="180"/>
      <c r="J43" s="181"/>
      <c r="K43" s="192" t="s">
        <v>12</v>
      </c>
      <c r="L43" s="193"/>
      <c r="M43" s="193"/>
      <c r="N43" s="194"/>
      <c r="O43" s="172" t="s">
        <v>11</v>
      </c>
      <c r="P43" s="173"/>
      <c r="Q43" s="173"/>
      <c r="R43" s="174"/>
      <c r="S43" s="192" t="s">
        <v>10</v>
      </c>
      <c r="T43" s="193"/>
      <c r="U43" s="193"/>
      <c r="V43" s="194"/>
      <c r="W43" s="192" t="s">
        <v>9</v>
      </c>
      <c r="X43" s="193"/>
      <c r="Y43" s="193"/>
      <c r="Z43" s="194"/>
      <c r="AA43" s="179" t="s">
        <v>26</v>
      </c>
      <c r="AB43" s="180"/>
      <c r="AC43" s="181"/>
      <c r="AD43" s="192" t="s">
        <v>8</v>
      </c>
      <c r="AE43" s="193"/>
      <c r="AF43" s="193"/>
      <c r="AG43" s="193"/>
      <c r="AH43" s="194"/>
    </row>
    <row r="44" spans="1:35" ht="15.75" thickBot="1" x14ac:dyDescent="0.3">
      <c r="A44" s="178"/>
      <c r="B44" s="188"/>
      <c r="C44" s="182"/>
      <c r="D44" s="183"/>
      <c r="E44" s="183"/>
      <c r="F44" s="183"/>
      <c r="G44" s="183"/>
      <c r="H44" s="183"/>
      <c r="I44" s="183"/>
      <c r="J44" s="184"/>
      <c r="K44" s="78">
        <f>MOD(INT(D17/8),2)</f>
        <v>0</v>
      </c>
      <c r="L44" s="76">
        <f>MOD(INT(D17/4),2)</f>
        <v>0</v>
      </c>
      <c r="M44" s="76">
        <f>MOD(INT(D17/2),2)</f>
        <v>1</v>
      </c>
      <c r="N44" s="77">
        <f>MOD(D17,2)</f>
        <v>1</v>
      </c>
      <c r="O44" s="78">
        <f>MOD(INT(D16/8),2)</f>
        <v>0</v>
      </c>
      <c r="P44" s="76">
        <f>MOD(INT(D16/4),2)</f>
        <v>1</v>
      </c>
      <c r="Q44" s="76">
        <f>MOD(INT(D16/2),2)</f>
        <v>0</v>
      </c>
      <c r="R44" s="77">
        <f>MOD(D16,2)</f>
        <v>0</v>
      </c>
      <c r="S44" s="78">
        <f>MOD(INT(D15/8),2)</f>
        <v>0</v>
      </c>
      <c r="T44" s="76">
        <f>MOD(INT(D15/4),2)</f>
        <v>1</v>
      </c>
      <c r="U44" s="76">
        <f>MOD(INT(D15/2),2)</f>
        <v>1</v>
      </c>
      <c r="V44" s="77">
        <f>MOD(D15,2)</f>
        <v>1</v>
      </c>
      <c r="W44" s="78">
        <f>MOD(INT(D14/8),2)</f>
        <v>0</v>
      </c>
      <c r="X44" s="76">
        <f>MOD(INT(D14/4),2)</f>
        <v>1</v>
      </c>
      <c r="Y44" s="76">
        <f>MOD(INT(D14/2),2)</f>
        <v>0</v>
      </c>
      <c r="Z44" s="77">
        <f>MOD(D14,2)</f>
        <v>0</v>
      </c>
      <c r="AA44" s="182"/>
      <c r="AB44" s="183"/>
      <c r="AC44" s="184"/>
      <c r="AD44" s="78">
        <f>MOD(INT(D13/16),2)</f>
        <v>1</v>
      </c>
      <c r="AE44" s="76">
        <f>MOD(INT(D13/8),2)</f>
        <v>0</v>
      </c>
      <c r="AF44" s="76">
        <f>MOD(INT(D13/4),2)</f>
        <v>1</v>
      </c>
      <c r="AG44" s="76">
        <f>MOD(INT(D13/2),2)</f>
        <v>1</v>
      </c>
      <c r="AH44" s="77">
        <f>MOD(D13,2)</f>
        <v>1</v>
      </c>
    </row>
    <row r="45" spans="1:35" ht="15.75" thickBot="1" x14ac:dyDescent="0.3">
      <c r="A45" s="103"/>
      <c r="B45" s="90"/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</row>
    <row r="46" spans="1:35" ht="15.75" thickBot="1" x14ac:dyDescent="0.3">
      <c r="A46" s="177" t="s">
        <v>132</v>
      </c>
      <c r="B46" s="187" t="str">
        <f xml:space="preserve"> DEC2HEX(AH47 + AG47*2 + AF47*2^2 + AE47*2^3 + AD47*2^4 + AC47*2^5 + AB47*2^6 + AA47*2^7 + Z47*2^8 + Y47*2^9 + X47*2^10 + W47*2^11 + V47*2^12+ U47*2^13 + T47*2^14 + S47*2^15 + R47*2^16 + Q47*2^17 + P47*2^18 + O47*2^19 + N47*2^20 + M47*2^21 + L47*2^22 + K47*2^23 + J47*2^24 + I47*2^25 + H47*2^26 + G47*2^27 + F47*2^28 +  E47*2^29 +  D47*2^30 + C47*2^31,8)</f>
        <v>00000730</v>
      </c>
      <c r="C46" s="179" t="s">
        <v>26</v>
      </c>
      <c r="D46" s="180"/>
      <c r="E46" s="180"/>
      <c r="F46" s="180"/>
      <c r="G46" s="180"/>
      <c r="H46" s="180"/>
      <c r="I46" s="180"/>
      <c r="J46" s="180"/>
      <c r="K46" s="180"/>
      <c r="L46" s="180"/>
      <c r="M46" s="180"/>
      <c r="N46" s="180"/>
      <c r="O46" s="180"/>
      <c r="P46" s="180"/>
      <c r="Q46" s="180"/>
      <c r="R46" s="180"/>
      <c r="S46" s="180"/>
      <c r="T46" s="180"/>
      <c r="U46" s="181"/>
      <c r="V46" s="73" t="s">
        <v>49</v>
      </c>
      <c r="W46" s="192" t="s">
        <v>50</v>
      </c>
      <c r="X46" s="193"/>
      <c r="Y46" s="194"/>
      <c r="Z46" s="91" t="s">
        <v>51</v>
      </c>
      <c r="AA46" s="195" t="s">
        <v>26</v>
      </c>
      <c r="AB46" s="192" t="s">
        <v>5</v>
      </c>
      <c r="AC46" s="193"/>
      <c r="AD46" s="194"/>
      <c r="AE46" s="195" t="s">
        <v>26</v>
      </c>
      <c r="AF46" s="91" t="s">
        <v>52</v>
      </c>
      <c r="AG46" s="192" t="s">
        <v>53</v>
      </c>
      <c r="AH46" s="194"/>
    </row>
    <row r="47" spans="1:35" ht="15.75" thickBot="1" x14ac:dyDescent="0.3">
      <c r="A47" s="178"/>
      <c r="B47" s="188"/>
      <c r="C47" s="182"/>
      <c r="D47" s="183"/>
      <c r="E47" s="183"/>
      <c r="F47" s="183"/>
      <c r="G47" s="183"/>
      <c r="H47" s="183"/>
      <c r="I47" s="183"/>
      <c r="J47" s="183"/>
      <c r="K47" s="183"/>
      <c r="L47" s="183"/>
      <c r="M47" s="183"/>
      <c r="N47" s="183"/>
      <c r="O47" s="183"/>
      <c r="P47" s="183"/>
      <c r="Q47" s="183"/>
      <c r="R47" s="183"/>
      <c r="S47" s="183"/>
      <c r="T47" s="183"/>
      <c r="U47" s="184"/>
      <c r="V47" s="74">
        <v>0</v>
      </c>
      <c r="W47" s="78">
        <f>MOD(INT(F15/4),2)</f>
        <v>0</v>
      </c>
      <c r="X47" s="76">
        <f>MOD(INT(F15/2),2)</f>
        <v>1</v>
      </c>
      <c r="Y47" s="77">
        <f>MOD(F15,2)</f>
        <v>1</v>
      </c>
      <c r="Z47" s="74">
        <v>1</v>
      </c>
      <c r="AA47" s="196"/>
      <c r="AB47" s="78">
        <f>IF(D18&lt;12,MOD(INT((D18-4)/4),2),MOD(INT((D18-12)/4),2))</f>
        <v>0</v>
      </c>
      <c r="AC47" s="76">
        <f>IF(D18&lt;12,MOD(INT((D18-4)/2),2),MOD(INT((D18-12)/2),2))</f>
        <v>1</v>
      </c>
      <c r="AD47" s="77">
        <f>IF(D18&lt;12,MOD(D18-4,2),MOD(D18-12,2))</f>
        <v>1</v>
      </c>
      <c r="AE47" s="196"/>
      <c r="AF47" s="74">
        <f>IF(D18&lt;12,0,1)</f>
        <v>0</v>
      </c>
      <c r="AG47" s="78">
        <v>0</v>
      </c>
      <c r="AH47" s="77">
        <v>0</v>
      </c>
      <c r="AI47" s="116"/>
    </row>
    <row r="48" spans="1:35" ht="15.75" thickBot="1" x14ac:dyDescent="0.3">
      <c r="A48" s="103"/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</row>
    <row r="49" spans="1:38" ht="15.75" thickBot="1" x14ac:dyDescent="0.3">
      <c r="A49" s="177" t="s">
        <v>133</v>
      </c>
      <c r="B49" s="187" t="str">
        <f xml:space="preserve"> DEC2HEX(AH50 + AG50*2 + AF50*2^2 + AE50*2^3 + AD50*2^4 + AC50*2^5 + AB50*2^6 + AA50*2^7 + Z50*2^8 + Y50*2^9 + X50*2^10 + W50*2^11 + V50*2^12+ U50*2^13 + T50*2^14 + S50*2^15 + R50*2^16 + Q50*2^17 + P50*2^18 + O50*2^19 + N50*2^20 + M50*2^21 + L50*2^22 + K50*2^23 + J50*2^24 + I50*2^25 + H50*2^26 + G50*2^27 + F50*2^28 +  E50*2^29 +  D50*2^30 + C50*2^31,8)</f>
        <v>00000006</v>
      </c>
      <c r="C49" s="179" t="s">
        <v>26</v>
      </c>
      <c r="D49" s="180"/>
      <c r="E49" s="180"/>
      <c r="F49" s="180"/>
      <c r="G49" s="180"/>
      <c r="H49" s="180"/>
      <c r="I49" s="180"/>
      <c r="J49" s="180"/>
      <c r="K49" s="180"/>
      <c r="L49" s="180"/>
      <c r="M49" s="180"/>
      <c r="N49" s="180"/>
      <c r="O49" s="180"/>
      <c r="P49" s="180"/>
      <c r="Q49" s="180"/>
      <c r="R49" s="180"/>
      <c r="S49" s="180"/>
      <c r="T49" s="180"/>
      <c r="U49" s="181"/>
      <c r="V49" s="91" t="s">
        <v>54</v>
      </c>
      <c r="W49" s="91" t="s">
        <v>55</v>
      </c>
      <c r="X49" s="195" t="s">
        <v>26</v>
      </c>
      <c r="Y49" s="91" t="s">
        <v>65</v>
      </c>
      <c r="Z49" s="179" t="s">
        <v>26</v>
      </c>
      <c r="AA49" s="181"/>
      <c r="AB49" s="91" t="s">
        <v>66</v>
      </c>
      <c r="AC49" s="91" t="s">
        <v>56</v>
      </c>
      <c r="AD49" s="192" t="s">
        <v>7</v>
      </c>
      <c r="AE49" s="194"/>
      <c r="AF49" s="91" t="s">
        <v>67</v>
      </c>
      <c r="AG49" s="91" t="s">
        <v>57</v>
      </c>
      <c r="AH49" s="91" t="s">
        <v>58</v>
      </c>
    </row>
    <row r="50" spans="1:38" ht="15.75" thickBot="1" x14ac:dyDescent="0.3">
      <c r="A50" s="178"/>
      <c r="B50" s="188"/>
      <c r="C50" s="182"/>
      <c r="D50" s="183"/>
      <c r="E50" s="183"/>
      <c r="F50" s="183"/>
      <c r="G50" s="183"/>
      <c r="H50" s="183"/>
      <c r="I50" s="183"/>
      <c r="J50" s="183"/>
      <c r="K50" s="183"/>
      <c r="L50" s="183"/>
      <c r="M50" s="183"/>
      <c r="N50" s="183"/>
      <c r="O50" s="183"/>
      <c r="P50" s="183"/>
      <c r="Q50" s="183"/>
      <c r="R50" s="183"/>
      <c r="S50" s="183"/>
      <c r="T50" s="183"/>
      <c r="U50" s="184"/>
      <c r="V50" s="74">
        <v>0</v>
      </c>
      <c r="W50" s="74">
        <v>0</v>
      </c>
      <c r="X50" s="196"/>
      <c r="Y50" s="74">
        <f>MOD(INT(D21/4),2)</f>
        <v>0</v>
      </c>
      <c r="Z50" s="182"/>
      <c r="AA50" s="184"/>
      <c r="AB50" s="74">
        <f>MOD(INT(D21/2),2)</f>
        <v>0</v>
      </c>
      <c r="AC50" s="74">
        <f>MOD(INT(D20/2),2)</f>
        <v>0</v>
      </c>
      <c r="AD50" s="78">
        <f>MOD(INT(D25/2),2)</f>
        <v>0</v>
      </c>
      <c r="AE50" s="77">
        <f>MOD(D25,2)</f>
        <v>0</v>
      </c>
      <c r="AF50" s="74">
        <f>MOD(D21,2)</f>
        <v>1</v>
      </c>
      <c r="AG50" s="74">
        <f>MOD(D20,2)</f>
        <v>1</v>
      </c>
      <c r="AH50" s="74">
        <v>0</v>
      </c>
    </row>
    <row r="51" spans="1:38" ht="15.75" thickBot="1" x14ac:dyDescent="0.3">
      <c r="A51" s="103"/>
      <c r="B51" s="90"/>
      <c r="C51" s="90"/>
      <c r="D51" s="90"/>
      <c r="E51" s="92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</row>
    <row r="52" spans="1:38" ht="15.75" thickBot="1" x14ac:dyDescent="0.3">
      <c r="A52" s="177" t="s">
        <v>134</v>
      </c>
      <c r="B52" s="175" t="str">
        <f xml:space="preserve"> DEC2HEX(AH53 + AG53*2 + AF53*2^2 + AE53*2^3 + AD53*2^4 + AC53*2^5 + AB53*2^6 + AA53*2^7 + Z53*2^8 + Y53*2^9 + X53*2^10 + W53*2^11 + V53*2^12+ U53*2^13 + T53*2^14 + S53*2^15 + R53*2^16 + Q53*2^17 + P53*2^18 + O53*2^19 + N53*2^20 + M53*2^21 + L53*2^22 + K53*2^23 + J53*2^24 + I53*2^25 + H53*2^26 + G53*2^27 + F53*2^28 +  E53*2^29 +  D53*2^30 + C53*2^31,8)</f>
        <v>00000008</v>
      </c>
      <c r="C52" s="179" t="s">
        <v>26</v>
      </c>
      <c r="D52" s="180"/>
      <c r="E52" s="180"/>
      <c r="F52" s="180"/>
      <c r="G52" s="180"/>
      <c r="H52" s="180"/>
      <c r="I52" s="180"/>
      <c r="J52" s="180"/>
      <c r="K52" s="180"/>
      <c r="L52" s="180"/>
      <c r="M52" s="180"/>
      <c r="N52" s="180"/>
      <c r="O52" s="180"/>
      <c r="P52" s="180"/>
      <c r="Q52" s="180"/>
      <c r="R52" s="180"/>
      <c r="S52" s="180"/>
      <c r="T52" s="180"/>
      <c r="U52" s="180"/>
      <c r="V52" s="180"/>
      <c r="W52" s="181"/>
      <c r="X52" s="201" t="s">
        <v>76</v>
      </c>
      <c r="Y52" s="202"/>
      <c r="Z52" s="203" t="s">
        <v>26</v>
      </c>
      <c r="AA52" s="73" t="s">
        <v>59</v>
      </c>
      <c r="AB52" s="73" t="s">
        <v>60</v>
      </c>
      <c r="AC52" s="192" t="s">
        <v>22</v>
      </c>
      <c r="AD52" s="193"/>
      <c r="AE52" s="200"/>
      <c r="AF52" s="197" t="s">
        <v>75</v>
      </c>
      <c r="AG52" s="198"/>
      <c r="AH52" s="199"/>
    </row>
    <row r="53" spans="1:38" ht="15.75" thickBot="1" x14ac:dyDescent="0.3">
      <c r="A53" s="178"/>
      <c r="B53" s="176"/>
      <c r="C53" s="182"/>
      <c r="D53" s="183"/>
      <c r="E53" s="183"/>
      <c r="F53" s="183"/>
      <c r="G53" s="183"/>
      <c r="H53" s="183"/>
      <c r="I53" s="183"/>
      <c r="J53" s="183"/>
      <c r="K53" s="183"/>
      <c r="L53" s="183"/>
      <c r="M53" s="183"/>
      <c r="N53" s="183"/>
      <c r="O53" s="183"/>
      <c r="P53" s="183"/>
      <c r="Q53" s="183"/>
      <c r="R53" s="183"/>
      <c r="S53" s="183"/>
      <c r="T53" s="183"/>
      <c r="U53" s="183"/>
      <c r="V53" s="183"/>
      <c r="W53" s="184"/>
      <c r="X53" s="93">
        <v>0</v>
      </c>
      <c r="Y53" s="77">
        <v>0</v>
      </c>
      <c r="Z53" s="204"/>
      <c r="AA53" s="74">
        <v>0</v>
      </c>
      <c r="AB53" s="74">
        <v>0</v>
      </c>
      <c r="AC53" s="78">
        <f>MOD(INT(D26/4),2)</f>
        <v>0</v>
      </c>
      <c r="AD53" s="76">
        <f>MOD(INT(D26/2),2)</f>
        <v>0</v>
      </c>
      <c r="AE53" s="77">
        <f>MOD(D26,2)</f>
        <v>1</v>
      </c>
      <c r="AF53" s="94">
        <v>0</v>
      </c>
      <c r="AG53" s="95">
        <v>0</v>
      </c>
      <c r="AH53" s="96">
        <v>0</v>
      </c>
      <c r="AI53" s="116"/>
      <c r="AJ53" s="116"/>
      <c r="AK53" s="116"/>
      <c r="AL53" s="116"/>
    </row>
    <row r="54" spans="1:38" ht="15.75" thickBot="1" x14ac:dyDescent="0.3">
      <c r="A54" s="104"/>
      <c r="B54" s="88"/>
      <c r="C54" s="97"/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8"/>
      <c r="Y54" s="99"/>
      <c r="Z54" s="97"/>
      <c r="AA54" s="99"/>
      <c r="AB54" s="99"/>
      <c r="AC54" s="99"/>
      <c r="AD54" s="99"/>
      <c r="AE54" s="99"/>
      <c r="AF54" s="99"/>
      <c r="AG54" s="99"/>
      <c r="AH54" s="99"/>
      <c r="AI54" s="116"/>
      <c r="AJ54" s="116"/>
      <c r="AK54" s="116"/>
      <c r="AL54" s="116"/>
    </row>
    <row r="55" spans="1:38" ht="15.75" thickBot="1" x14ac:dyDescent="0.3">
      <c r="A55" s="177" t="s">
        <v>61</v>
      </c>
      <c r="B55" s="175" t="str">
        <f xml:space="preserve"> DEC2HEX(AH56 + AG56*2 + AF56*2^2 + AE56*2^3 + AD56*2^4 + AC56*2^5 + AB56*2^6 + AA56*2^7 + Z56*2^8 + Y56*2^9 + X56*2^10 + W56*2^11 + V56*2^12+ U56*2^13 + T56*2^14 + S56*2^15 + R56*2^16 + Q56*2^17 + P56*2^18 + O56*2^19 + N56*2^20 + M56*2^21 + L56*2^22 + K56*2^23 + J56*2^24 + I56*2^25 + H56*2^26 + G56*2^27 + F56*2^28 +  E56*2^29 +  D56*2^30 + C56*2^31,8)</f>
        <v>0078283C</v>
      </c>
      <c r="C55" s="179" t="s">
        <v>26</v>
      </c>
      <c r="D55" s="180"/>
      <c r="E55" s="180"/>
      <c r="F55" s="180"/>
      <c r="G55" s="180"/>
      <c r="H55" s="180"/>
      <c r="I55" s="180"/>
      <c r="J55" s="181"/>
      <c r="K55" s="172" t="s">
        <v>62</v>
      </c>
      <c r="L55" s="173"/>
      <c r="M55" s="173"/>
      <c r="N55" s="173"/>
      <c r="O55" s="173"/>
      <c r="P55" s="173"/>
      <c r="Q55" s="173"/>
      <c r="R55" s="174"/>
      <c r="S55" s="192" t="s">
        <v>63</v>
      </c>
      <c r="T55" s="193"/>
      <c r="U55" s="193"/>
      <c r="V55" s="193"/>
      <c r="W55" s="193"/>
      <c r="X55" s="193"/>
      <c r="Y55" s="193"/>
      <c r="Z55" s="194"/>
      <c r="AA55" s="192" t="s">
        <v>64</v>
      </c>
      <c r="AB55" s="193"/>
      <c r="AC55" s="193"/>
      <c r="AD55" s="193"/>
      <c r="AE55" s="193"/>
      <c r="AF55" s="193"/>
      <c r="AG55" s="193"/>
      <c r="AH55" s="194"/>
    </row>
    <row r="56" spans="1:38" ht="15.75" thickBot="1" x14ac:dyDescent="0.3">
      <c r="A56" s="178"/>
      <c r="B56" s="176"/>
      <c r="C56" s="182"/>
      <c r="D56" s="183"/>
      <c r="E56" s="183"/>
      <c r="F56" s="183"/>
      <c r="G56" s="183"/>
      <c r="H56" s="183"/>
      <c r="I56" s="183"/>
      <c r="J56" s="184"/>
      <c r="K56" s="78">
        <f>MOD(INT(D24/128),2)</f>
        <v>0</v>
      </c>
      <c r="L56" s="76">
        <f>MOD(INT(D24/64),2)</f>
        <v>1</v>
      </c>
      <c r="M56" s="76">
        <f>MOD(INT(D24/32),2)</f>
        <v>1</v>
      </c>
      <c r="N56" s="76">
        <f>MOD(INT(D24/16),2)</f>
        <v>1</v>
      </c>
      <c r="O56" s="76">
        <f>MOD(INT(D24/8),2)</f>
        <v>1</v>
      </c>
      <c r="P56" s="76">
        <f>MOD(INT(D24/4),2)</f>
        <v>0</v>
      </c>
      <c r="Q56" s="76">
        <f>MOD(INT(D24/2),2)</f>
        <v>0</v>
      </c>
      <c r="R56" s="77">
        <f>MOD(D24,2)</f>
        <v>0</v>
      </c>
      <c r="S56" s="78">
        <f>MOD(INT(D23/128),2)</f>
        <v>0</v>
      </c>
      <c r="T56" s="76">
        <f>MOD(INT(D23/64),2)</f>
        <v>0</v>
      </c>
      <c r="U56" s="76">
        <f>MOD(INT(D23/32),2)</f>
        <v>1</v>
      </c>
      <c r="V56" s="76">
        <f>MOD(INT(D23/16),2)</f>
        <v>0</v>
      </c>
      <c r="W56" s="76">
        <f>MOD(INT(D23/8),2)</f>
        <v>1</v>
      </c>
      <c r="X56" s="76">
        <f>MOD(INT(D23/4),2)</f>
        <v>0</v>
      </c>
      <c r="Y56" s="76">
        <f>MOD(INT(D23/2),2)</f>
        <v>0</v>
      </c>
      <c r="Z56" s="77">
        <f>MOD(D23,2)</f>
        <v>0</v>
      </c>
      <c r="AA56" s="78">
        <f>MOD(INT(D22/128),2)</f>
        <v>0</v>
      </c>
      <c r="AB56" s="76">
        <f>MOD(INT(D22/64),2)</f>
        <v>0</v>
      </c>
      <c r="AC56" s="76">
        <f>MOD(INT(D22/32),2)</f>
        <v>1</v>
      </c>
      <c r="AD56" s="76">
        <f>MOD(INT(D22/16),2)</f>
        <v>1</v>
      </c>
      <c r="AE56" s="76">
        <f>MOD(INT(D22/8),2)</f>
        <v>1</v>
      </c>
      <c r="AF56" s="76">
        <f>MOD(INT(D22/4),2)</f>
        <v>1</v>
      </c>
      <c r="AG56" s="76">
        <f>MOD(INT(D22/2),2)</f>
        <v>0</v>
      </c>
      <c r="AH56" s="77">
        <f>MOD(D22,2)</f>
        <v>0</v>
      </c>
    </row>
    <row r="57" spans="1:38" ht="15.75" thickBot="1" x14ac:dyDescent="0.3">
      <c r="A57" s="121"/>
      <c r="B57" s="122"/>
      <c r="C57" s="122"/>
      <c r="D57" s="122"/>
      <c r="E57" s="122"/>
      <c r="F57" s="122"/>
      <c r="G57" s="122"/>
      <c r="H57" s="122"/>
      <c r="I57" s="122"/>
      <c r="J57" s="122"/>
      <c r="K57" s="122"/>
      <c r="L57" s="122"/>
      <c r="M57" s="122"/>
      <c r="N57" s="122"/>
      <c r="O57" s="122"/>
      <c r="P57" s="122"/>
      <c r="Q57" s="122"/>
      <c r="R57" s="122"/>
      <c r="S57" s="122"/>
      <c r="T57" s="122"/>
      <c r="U57" s="122"/>
      <c r="V57" s="122"/>
      <c r="W57" s="122"/>
      <c r="X57" s="122"/>
      <c r="Y57" s="122"/>
      <c r="Z57" s="122"/>
      <c r="AA57" s="122"/>
      <c r="AB57" s="122"/>
      <c r="AC57" s="122"/>
      <c r="AD57" s="122"/>
      <c r="AE57" s="122"/>
      <c r="AF57" s="122"/>
      <c r="AG57" s="122"/>
      <c r="AH57" s="122"/>
    </row>
    <row r="58" spans="1:38" ht="15.75" thickBot="1" x14ac:dyDescent="0.3">
      <c r="A58" s="177" t="s">
        <v>135</v>
      </c>
      <c r="B58" s="175" t="str">
        <f xml:space="preserve"> DEC2HEX(AH59 + AG59*2 + AF59*2^2 + AE59*2^3 + AD59*2^4 + AC59*2^5 + AB59*2^6 + AA59*2^7 + Z59*2^8 + Y59*2^9 + X59*2^10 + W59*2^11 + V59*2^12+ U59*2^13 + T59*2^14 + S59*2^15 + R59*2^16 + Q59*2^17 + P59*2^18 + O59*2^19 + N59*2^20 + M59*2^21 + L59*2^22 + K59*2^23 + J59*2^24 + I59*2^25 + H59*2^26 + G59*2^27 + F59*2^28 +  E59*2^29 +  D59*2^30 + C59*2^31,8)</f>
        <v>0000001A</v>
      </c>
      <c r="C58" s="179" t="s">
        <v>26</v>
      </c>
      <c r="D58" s="180"/>
      <c r="E58" s="180"/>
      <c r="F58" s="180"/>
      <c r="G58" s="180"/>
      <c r="H58" s="180"/>
      <c r="I58" s="180"/>
      <c r="J58" s="180"/>
      <c r="K58" s="180"/>
      <c r="L58" s="180"/>
      <c r="M58" s="180"/>
      <c r="N58" s="180"/>
      <c r="O58" s="180"/>
      <c r="P58" s="180"/>
      <c r="Q58" s="180"/>
      <c r="R58" s="180"/>
      <c r="S58" s="180"/>
      <c r="T58" s="180"/>
      <c r="U58" s="180"/>
      <c r="V58" s="180"/>
      <c r="W58" s="180"/>
      <c r="X58" s="180"/>
      <c r="Y58" s="180"/>
      <c r="Z58" s="180"/>
      <c r="AA58" s="180"/>
      <c r="AB58" s="181"/>
      <c r="AC58" s="172" t="s">
        <v>136</v>
      </c>
      <c r="AD58" s="173"/>
      <c r="AE58" s="173"/>
      <c r="AF58" s="174"/>
      <c r="AG58" s="161"/>
      <c r="AH58" s="150"/>
    </row>
    <row r="59" spans="1:38" ht="15.75" thickBot="1" x14ac:dyDescent="0.3">
      <c r="A59" s="178"/>
      <c r="B59" s="176"/>
      <c r="C59" s="182"/>
      <c r="D59" s="183"/>
      <c r="E59" s="183"/>
      <c r="F59" s="183"/>
      <c r="G59" s="183"/>
      <c r="H59" s="183"/>
      <c r="I59" s="183"/>
      <c r="J59" s="183"/>
      <c r="K59" s="183"/>
      <c r="L59" s="183"/>
      <c r="M59" s="183"/>
      <c r="N59" s="183"/>
      <c r="O59" s="183"/>
      <c r="P59" s="183"/>
      <c r="Q59" s="183"/>
      <c r="R59" s="183"/>
      <c r="S59" s="183"/>
      <c r="T59" s="183"/>
      <c r="U59" s="183"/>
      <c r="V59" s="183"/>
      <c r="W59" s="183"/>
      <c r="X59" s="183"/>
      <c r="Y59" s="183"/>
      <c r="Z59" s="183"/>
      <c r="AA59" s="183"/>
      <c r="AB59" s="184"/>
      <c r="AC59" s="152">
        <f>MOD(INT(F25/8),2)</f>
        <v>0</v>
      </c>
      <c r="AD59" s="76">
        <f>MOD(INT(F25/4),2)</f>
        <v>1</v>
      </c>
      <c r="AE59" s="76">
        <f>MOD(INT(F25/2),2)</f>
        <v>1</v>
      </c>
      <c r="AF59" s="80">
        <f>MOD(F25,2)</f>
        <v>0</v>
      </c>
      <c r="AG59" s="149">
        <v>1</v>
      </c>
      <c r="AH59" s="151">
        <f>MOD(D25,2)</f>
        <v>0</v>
      </c>
    </row>
    <row r="60" spans="1:38" ht="15.75" thickBot="1" x14ac:dyDescent="0.3">
      <c r="A60" s="121"/>
      <c r="B60" s="122"/>
      <c r="C60" s="122"/>
      <c r="D60" s="122"/>
      <c r="E60" s="122"/>
      <c r="F60" s="122"/>
      <c r="G60" s="122"/>
      <c r="H60" s="122"/>
      <c r="I60" s="122"/>
      <c r="J60" s="122"/>
      <c r="K60" s="122"/>
      <c r="L60" s="122"/>
      <c r="M60" s="122"/>
      <c r="N60" s="122"/>
      <c r="O60" s="122"/>
      <c r="P60" s="122"/>
      <c r="Q60" s="122"/>
      <c r="R60" s="122"/>
      <c r="S60" s="122"/>
      <c r="T60" s="122"/>
      <c r="U60" s="122"/>
      <c r="V60" s="122"/>
      <c r="W60" s="122"/>
      <c r="X60" s="122"/>
      <c r="Y60" s="122"/>
      <c r="Z60" s="122"/>
      <c r="AA60" s="122"/>
      <c r="AB60" s="122"/>
      <c r="AC60" s="122"/>
      <c r="AD60" s="122"/>
      <c r="AE60" s="122"/>
      <c r="AF60" s="122"/>
      <c r="AG60" s="122"/>
      <c r="AH60" s="122"/>
    </row>
    <row r="61" spans="1:38" ht="15.75" thickBot="1" x14ac:dyDescent="0.3">
      <c r="A61" s="170" t="s">
        <v>86</v>
      </c>
      <c r="B61" s="175" t="str">
        <f xml:space="preserve"> DEC2HEX(AH62+ AG62*2 + AF62*2^2 + AE62*2^3 + AD62*2^4 + AC62*2^5 + AB62*2^6 + AA62*2^7 + Z62*2^8 + Y62*2^9 + X62*2^10 + W62*2^11 + V62*2^12+ U62*2^13 + T62*2^14 + S62*2^15 + R62*2^16 + Q62*2^17 + P62*2^18 + O62*2^19 + N62*2^20 + M62*2^21 + L62*2^22 + K62*2^23 + J62*2^24 + I62*2^25 + H62*2^26 + G62*2^27 + F62*2^28 +  E62*2^29 +  D62*2^30 + C62*2^31,8)</f>
        <v>80000000</v>
      </c>
      <c r="C61" s="172" t="s">
        <v>86</v>
      </c>
      <c r="D61" s="173"/>
      <c r="E61" s="173"/>
      <c r="F61" s="173"/>
      <c r="G61" s="173"/>
      <c r="H61" s="173"/>
      <c r="I61" s="173"/>
      <c r="J61" s="173"/>
      <c r="K61" s="173"/>
      <c r="L61" s="173"/>
      <c r="M61" s="173"/>
      <c r="N61" s="173"/>
      <c r="O61" s="173"/>
      <c r="P61" s="173"/>
      <c r="Q61" s="173"/>
      <c r="R61" s="173"/>
      <c r="S61" s="173"/>
      <c r="T61" s="173"/>
      <c r="U61" s="173"/>
      <c r="V61" s="173"/>
      <c r="W61" s="173"/>
      <c r="X61" s="173"/>
      <c r="Y61" s="173"/>
      <c r="Z61" s="173"/>
      <c r="AA61" s="173"/>
      <c r="AB61" s="173"/>
      <c r="AC61" s="173"/>
      <c r="AD61" s="173"/>
      <c r="AE61" s="173"/>
      <c r="AF61" s="173"/>
      <c r="AG61" s="173"/>
      <c r="AH61" s="174"/>
    </row>
    <row r="62" spans="1:38" ht="15.75" thickBot="1" x14ac:dyDescent="0.3">
      <c r="A62" s="171"/>
      <c r="B62" s="176"/>
      <c r="C62" s="100">
        <f>MOD(INT(D27/2^31),2)</f>
        <v>1</v>
      </c>
      <c r="D62" s="101">
        <f>MOD(INT(D27/2^30),2)</f>
        <v>0</v>
      </c>
      <c r="E62" s="101">
        <f>MOD(INT(D27/2^29),2)</f>
        <v>0</v>
      </c>
      <c r="F62" s="101">
        <f>MOD(INT(D27/2^28),2)</f>
        <v>0</v>
      </c>
      <c r="G62" s="101">
        <f>MOD(INT(D27/2^27),2)</f>
        <v>0</v>
      </c>
      <c r="H62" s="101">
        <f>MOD(INT(D27/2^26),2)</f>
        <v>0</v>
      </c>
      <c r="I62" s="101">
        <f>MOD(INT(D27/2^25),2)</f>
        <v>0</v>
      </c>
      <c r="J62" s="101">
        <f>MOD(INT(D27/2^24),2)</f>
        <v>0</v>
      </c>
      <c r="K62" s="101">
        <f>MOD(INT(D27/2^23),2)</f>
        <v>0</v>
      </c>
      <c r="L62" s="101">
        <f>MOD(INT(D27/2^22),2)</f>
        <v>0</v>
      </c>
      <c r="M62" s="101">
        <f>MOD(INT(D27/2^21),2)</f>
        <v>0</v>
      </c>
      <c r="N62" s="101">
        <f>MOD(INT(D27/2^20),2)</f>
        <v>0</v>
      </c>
      <c r="O62" s="101">
        <f>MOD(INT(D27/2^19),2)</f>
        <v>0</v>
      </c>
      <c r="P62" s="101">
        <f>MOD(INT(D27/2^18),2)</f>
        <v>0</v>
      </c>
      <c r="Q62" s="101">
        <f>MOD(INT(D27/2^17),2)</f>
        <v>0</v>
      </c>
      <c r="R62" s="101">
        <f>MOD(INT(D27/2^16),2)</f>
        <v>0</v>
      </c>
      <c r="S62" s="101">
        <f>MOD(INT(D27/2^15),2)</f>
        <v>0</v>
      </c>
      <c r="T62" s="101">
        <f>MOD(INT(D27/2^14),2)</f>
        <v>0</v>
      </c>
      <c r="U62" s="101">
        <f>MOD(INT(D27/2^13),2)</f>
        <v>0</v>
      </c>
      <c r="V62" s="101">
        <f>MOD(INT(D27/2^12),2)</f>
        <v>0</v>
      </c>
      <c r="W62" s="101">
        <f>MOD(INT(D27/2^11),2)</f>
        <v>0</v>
      </c>
      <c r="X62" s="101">
        <f>MOD(INT(D27/2^10),2)</f>
        <v>0</v>
      </c>
      <c r="Y62" s="101">
        <f>MOD(INT(D27/2^9),2)</f>
        <v>0</v>
      </c>
      <c r="Z62" s="101">
        <f>MOD(INT(D27/2^8),2)</f>
        <v>0</v>
      </c>
      <c r="AA62" s="101">
        <f>MOD(INT(D27/2^7),2)</f>
        <v>0</v>
      </c>
      <c r="AB62" s="101">
        <f>MOD(INT(D27/2^6),2)</f>
        <v>0</v>
      </c>
      <c r="AC62" s="101">
        <f>MOD(INT(D27/2^5),2)</f>
        <v>0</v>
      </c>
      <c r="AD62" s="101">
        <f>MOD(INT(D27/2^4),2)</f>
        <v>0</v>
      </c>
      <c r="AE62" s="101">
        <f>MOD(INT(D27/2^3),2)</f>
        <v>0</v>
      </c>
      <c r="AF62" s="101">
        <f>MOD(INT(D27/2^2),2)</f>
        <v>0</v>
      </c>
      <c r="AG62" s="101">
        <f>MOD(INT(D27/2),2)</f>
        <v>0</v>
      </c>
      <c r="AH62" s="102">
        <f>MOD(D27,2)</f>
        <v>0</v>
      </c>
    </row>
    <row r="65" spans="35:36" x14ac:dyDescent="0.25">
      <c r="AI65" s="123"/>
      <c r="AJ65" s="124"/>
    </row>
  </sheetData>
  <dataConsolidate/>
  <mergeCells count="73">
    <mergeCell ref="A52:A53"/>
    <mergeCell ref="K55:R55"/>
    <mergeCell ref="AC52:AE52"/>
    <mergeCell ref="C31:H32"/>
    <mergeCell ref="B52:B53"/>
    <mergeCell ref="X52:Y52"/>
    <mergeCell ref="C49:U50"/>
    <mergeCell ref="C52:W53"/>
    <mergeCell ref="X49:X50"/>
    <mergeCell ref="W37:Z37"/>
    <mergeCell ref="W31:Y31"/>
    <mergeCell ref="Z52:Z53"/>
    <mergeCell ref="W46:Y46"/>
    <mergeCell ref="A40:A41"/>
    <mergeCell ref="B40:B41"/>
    <mergeCell ref="D40:F40"/>
    <mergeCell ref="O43:R43"/>
    <mergeCell ref="A49:A50"/>
    <mergeCell ref="C43:J44"/>
    <mergeCell ref="B49:B50"/>
    <mergeCell ref="C46:U47"/>
    <mergeCell ref="C40:C41"/>
    <mergeCell ref="A43:A44"/>
    <mergeCell ref="A46:A47"/>
    <mergeCell ref="B46:B47"/>
    <mergeCell ref="B43:B44"/>
    <mergeCell ref="AG46:AH46"/>
    <mergeCell ref="S55:Z55"/>
    <mergeCell ref="AA55:AH55"/>
    <mergeCell ref="Z49:AA50"/>
    <mergeCell ref="G37:H38"/>
    <mergeCell ref="O37:Q38"/>
    <mergeCell ref="G40:J41"/>
    <mergeCell ref="K40:R40"/>
    <mergeCell ref="C55:J56"/>
    <mergeCell ref="AD49:AE49"/>
    <mergeCell ref="AB46:AD46"/>
    <mergeCell ref="AA46:AA47"/>
    <mergeCell ref="AE46:AE47"/>
    <mergeCell ref="AD43:AH43"/>
    <mergeCell ref="AF52:AH52"/>
    <mergeCell ref="C37:F37"/>
    <mergeCell ref="AE34:AH34"/>
    <mergeCell ref="S43:V43"/>
    <mergeCell ref="W43:Z43"/>
    <mergeCell ref="K31:T32"/>
    <mergeCell ref="AA43:AC44"/>
    <mergeCell ref="AA37:AD37"/>
    <mergeCell ref="AE37:AH37"/>
    <mergeCell ref="I37:N37"/>
    <mergeCell ref="R37:V37"/>
    <mergeCell ref="S34:V34"/>
    <mergeCell ref="W34:Z34"/>
    <mergeCell ref="U40:AH40"/>
    <mergeCell ref="S40:T41"/>
    <mergeCell ref="AA34:AD34"/>
    <mergeCell ref="K43:N43"/>
    <mergeCell ref="C34:R35"/>
    <mergeCell ref="A31:A32"/>
    <mergeCell ref="B31:B32"/>
    <mergeCell ref="A37:A38"/>
    <mergeCell ref="B37:B38"/>
    <mergeCell ref="A34:A35"/>
    <mergeCell ref="B34:B35"/>
    <mergeCell ref="A61:A62"/>
    <mergeCell ref="C61:AH61"/>
    <mergeCell ref="B61:B62"/>
    <mergeCell ref="A55:A56"/>
    <mergeCell ref="B55:B56"/>
    <mergeCell ref="AC58:AF58"/>
    <mergeCell ref="C58:AB59"/>
    <mergeCell ref="A58:A59"/>
    <mergeCell ref="B58:B59"/>
  </mergeCells>
  <dataValidations xWindow="324" yWindow="646" count="29">
    <dataValidation allowBlank="1" showInputMessage="1" showErrorMessage="1" prompt="Enter a 16 byte aligned address ADD in such a way that the bytes from address ADD to ADD+15 can be overwritten by the controller during PHY DLL calibration. Default value used by the controller is 0x80000000 for DMC0 and 0xC0000000 for DMC1" sqref="D27"/>
    <dataValidation type="list" allowBlank="1" showInputMessage="1" showErrorMessage="1" sqref="C4:C7 C9 C11:C17 C8">
      <formula1>$G$11:$G$12</formula1>
    </dataValidation>
    <dataValidation type="list" allowBlank="1" showInputMessage="1" showErrorMessage="1" prompt="Enter the DDR memory size in Mega Bytes" sqref="B3">
      <formula1>$H$12:$H$16</formula1>
    </dataValidation>
    <dataValidation type="list" allowBlank="1" showInputMessage="1" showErrorMessage="1" prompt="Enter additive latency value as per the DDR3 memory device data sheet. Note that this option only affects efficiency and functionally &quot;AL Disabled&quot; should work. If selecting any other option, make sure that AL is always &gt;= tRCD(min)-1. " sqref="B25">
      <formula1>$J$12:$J$14</formula1>
    </dataValidation>
    <dataValidation type="list" allowBlank="1" showInputMessage="1" showErrorMessage="1" prompt="Enter write latency value (CWL) from the DDR3 device data sheet" sqref="B26">
      <formula1>$K$12:$K$19</formula1>
    </dataValidation>
    <dataValidation type="list" allowBlank="1" showInputMessage="1" showErrorMessage="1" prompt="Enter CAS latency (CL) value from the DDR3 device data sheet" sqref="B18">
      <formula1>$I$12:$I$21</formula1>
    </dataValidation>
    <dataValidation type="list" allowBlank="1" showInputMessage="1" showErrorMessage="1" prompt="Select the output drive strength from memory end" sqref="B20">
      <formula1>$H$25:$H$26</formula1>
    </dataValidation>
    <dataValidation type="list" allowBlank="1" showInputMessage="1" showErrorMessage="1" prompt="Select On Die Termination (ODT) value for the DQ, DQS, and DM pads from memory side. Note that the values RZQ/12(20 ohms) and RZQ/8(30 ohms) are not supported if they are used for ODT during writes" sqref="B21">
      <formula1>$J$3:$J$8</formula1>
    </dataValidation>
    <dataValidation type="decimal" allowBlank="1" showInputMessage="1" showErrorMessage="1" error="The DCLK value should be between 300 MHz to 450 MHz" prompt="Enter DCLK value in MHz (between 300-450 MHz)" sqref="B2">
      <formula1>300</formula1>
      <formula2>450</formula2>
    </dataValidation>
    <dataValidation allowBlank="1" showInputMessage="1" showErrorMessage="1" prompt="Enter tRCD(min) from the DDR3 device data sheet" sqref="B4"/>
    <dataValidation allowBlank="1" showInputMessage="1" showErrorMessage="1" prompt="Enter tWTR(min) from the DDR3 device data sheet" sqref="B5"/>
    <dataValidation allowBlank="1" showInputMessage="1" showErrorMessage="1" prompt="Enter tRP(min) from the DDR3 device data sheet" sqref="B6"/>
    <dataValidation allowBlank="1" showInputMessage="1" showErrorMessage="1" prompt="Enter tRAS(min) from the DDR3 device data sheet" sqref="B7"/>
    <dataValidation allowBlank="1" showInputMessage="1" showErrorMessage="1" prompt="Enter tRC(min) from the DDR3 device data sheet" sqref="B8"/>
    <dataValidation allowBlank="1" showInputMessage="1" showErrorMessage="1" prompt="Enter tMRD(min) from the DDR3 device data sheet" sqref="B9"/>
    <dataValidation allowBlank="1" showInputMessage="1" showErrorMessage="1" prompt="Enter tREFI(max) from the DDR3 device data sheet" sqref="B10"/>
    <dataValidation allowBlank="1" showInputMessage="1" showErrorMessage="1" prompt="Enter tRFC(min) from the DDR3 device data sheet" sqref="B11"/>
    <dataValidation allowBlank="1" showInputMessage="1" showErrorMessage="1" prompt="Enter tRRD(min) from the DDR3 device data sheet" sqref="B12"/>
    <dataValidation allowBlank="1" showInputMessage="1" showErrorMessage="1" prompt="Enter tFAW(min) from the DDR3 device data sheet" sqref="B13"/>
    <dataValidation allowBlank="1" showInputMessage="1" showErrorMessage="1" prompt="Enter tRTP(min) from the DDR3 device data sheet" sqref="B14"/>
    <dataValidation allowBlank="1" showInputMessage="1" showErrorMessage="1" prompt="Enter tWR(min) from the DDR3 device data sheet" sqref="B15"/>
    <dataValidation allowBlank="1" showInputMessage="1" showErrorMessage="1" prompt="Enter tXP(min) from the DDR3 device data sheet" sqref="B16"/>
    <dataValidation allowBlank="1" showInputMessage="1" showErrorMessage="1" prompt="Enter tCKE(min) from the DDR3 device data sheet" sqref="B17"/>
    <dataValidation type="decimal" operator="equal" allowBlank="1" showInputMessage="1" showErrorMessage="1" error="Only burst length = 8 is supported" prompt="Only burst length = 8 is supported" sqref="B19">
      <formula1>8</formula1>
    </dataValidation>
    <dataValidation type="decimal" operator="equal" allowBlank="1" showInputMessage="1" showErrorMessage="1" error="The recommended value is 60 ohms" prompt="Enter the Driver Impedance value for the address  (DMC_A[nn],  DMC_BA[n])  and command  (DMC_CKE,  DMC_CS[n],  DMC_ODT,  DMC_RAS,  DMC_RESET,  DMC_WE)  pads._x000a__x000a_The recommended value is 60 ohms" sqref="B22">
      <formula1>60</formula1>
    </dataValidation>
    <dataValidation type="decimal" operator="equal" allowBlank="1" showInputMessage="1" showErrorMessage="1" error="The recommended value is 40 ohms." prompt="Enter the Driver Impedance value for data  (DMC_DQ[nn]),  DQS  (DMC_LDQS, /DMC_LDQS,  DMC_UDQS,  /DMC_UDQS),  clock  (DMC_CK,  DMC_CK),  and  DM (DMC_UDM, DMC_LDM) pads._x000a__x000a_The recommended value is 40 ohms." sqref="B23">
      <formula1>40</formula1>
    </dataValidation>
    <dataValidation allowBlank="1" showInputMessage="1" showErrorMessage="1" prompt="Enter the On Die Termination value in Ohms for the DQ and DQS pads from the processor end" sqref="B24"/>
    <dataValidation allowBlank="1" showInputMessage="1" prompt="Enter a 16 byte aligned unused DMC address here. Note that 16 bytes from(and including) this address shall be overwritten by the controller during initialization.  " sqref="B27"/>
    <dataValidation type="list" allowBlank="1" showInputMessage="1" showErrorMessage="1" sqref="C10">
      <formula1>$G$16:$G$17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8"/>
  <sheetViews>
    <sheetView zoomScale="85" zoomScaleNormal="85" workbookViewId="0">
      <selection activeCell="A45" sqref="A45:A46"/>
    </sheetView>
  </sheetViews>
  <sheetFormatPr defaultRowHeight="15" x14ac:dyDescent="0.25"/>
  <cols>
    <col min="1" max="1" width="42.7109375" style="130" customWidth="1"/>
    <col min="2" max="34" width="15.7109375" style="130" customWidth="1"/>
    <col min="35" max="16384" width="9.140625" style="130"/>
  </cols>
  <sheetData>
    <row r="1" spans="1:17" ht="15" customHeight="1" x14ac:dyDescent="0.25">
      <c r="A1" s="27" t="s">
        <v>0</v>
      </c>
      <c r="B1" s="27" t="s">
        <v>1</v>
      </c>
      <c r="C1" s="27" t="s">
        <v>2</v>
      </c>
      <c r="D1" s="165"/>
      <c r="E1" s="166" t="s">
        <v>2</v>
      </c>
      <c r="F1" s="62"/>
      <c r="G1" s="62"/>
      <c r="H1" s="62"/>
      <c r="I1" s="62"/>
      <c r="J1" s="62"/>
      <c r="K1" s="129"/>
      <c r="L1" s="129"/>
      <c r="M1" s="129"/>
      <c r="N1" s="129"/>
      <c r="O1" s="129"/>
    </row>
    <row r="2" spans="1:17" ht="15" customHeight="1" x14ac:dyDescent="0.25">
      <c r="A2" s="64" t="s">
        <v>115</v>
      </c>
      <c r="B2" s="66">
        <v>400</v>
      </c>
      <c r="C2" s="127" t="s">
        <v>3</v>
      </c>
      <c r="D2" s="36">
        <f>(1/B2)*1000</f>
        <v>2.5</v>
      </c>
      <c r="E2" s="37" t="s">
        <v>4</v>
      </c>
      <c r="F2" s="50"/>
      <c r="G2" s="50"/>
      <c r="H2" s="50"/>
      <c r="I2" s="50"/>
      <c r="J2" s="50"/>
      <c r="K2" s="61"/>
      <c r="L2" s="61"/>
      <c r="M2" s="61"/>
      <c r="N2" s="129"/>
      <c r="O2" s="129"/>
    </row>
    <row r="3" spans="1:17" ht="15" customHeight="1" x14ac:dyDescent="0.25">
      <c r="A3" s="64" t="s">
        <v>68</v>
      </c>
      <c r="B3" s="66">
        <v>2048</v>
      </c>
      <c r="C3" s="127" t="s">
        <v>77</v>
      </c>
      <c r="D3" s="36">
        <f>LOG((B3*1024*1024/(64*1024*1024)),2)</f>
        <v>5</v>
      </c>
      <c r="E3" s="40"/>
      <c r="F3" s="50"/>
      <c r="G3" s="51" t="s">
        <v>4</v>
      </c>
      <c r="H3" s="51" t="s">
        <v>4</v>
      </c>
      <c r="I3" s="51">
        <v>0</v>
      </c>
      <c r="J3" s="52" t="s">
        <v>79</v>
      </c>
      <c r="K3" s="254"/>
      <c r="L3" s="61"/>
      <c r="M3" s="254"/>
      <c r="N3" s="129"/>
      <c r="O3" s="125"/>
      <c r="P3" s="28"/>
      <c r="Q3" s="28"/>
    </row>
    <row r="4" spans="1:17" ht="15" customHeight="1" x14ac:dyDescent="0.25">
      <c r="A4" s="64" t="s">
        <v>16</v>
      </c>
      <c r="B4" s="66">
        <v>12.5</v>
      </c>
      <c r="C4" s="127" t="s">
        <v>4</v>
      </c>
      <c r="D4" s="36">
        <f>IF(C4=H3,CEILING((B4/D2),1),B4)</f>
        <v>5</v>
      </c>
      <c r="E4" s="40" t="s">
        <v>6</v>
      </c>
      <c r="F4" s="255"/>
      <c r="G4" s="51" t="s">
        <v>6</v>
      </c>
      <c r="H4" s="51" t="s">
        <v>79</v>
      </c>
      <c r="I4" s="51">
        <v>75</v>
      </c>
      <c r="J4" s="51">
        <f>512</f>
        <v>512</v>
      </c>
      <c r="K4" s="254"/>
      <c r="L4" s="61"/>
      <c r="M4" s="254"/>
      <c r="N4" s="129"/>
      <c r="O4" s="125"/>
      <c r="P4" s="28"/>
      <c r="Q4" s="28"/>
    </row>
    <row r="5" spans="1:17" ht="15" customHeight="1" x14ac:dyDescent="0.25">
      <c r="A5" s="64" t="s">
        <v>17</v>
      </c>
      <c r="B5" s="66">
        <v>7.5</v>
      </c>
      <c r="C5" s="127" t="s">
        <v>4</v>
      </c>
      <c r="D5" s="256">
        <f>IF(C5=H3,CEILING((B5/D2),1),B5)</f>
        <v>3</v>
      </c>
      <c r="E5" s="40" t="s">
        <v>6</v>
      </c>
      <c r="F5" s="257"/>
      <c r="G5" s="258"/>
      <c r="H5" s="51"/>
      <c r="I5" s="51">
        <v>150</v>
      </c>
      <c r="J5" s="51">
        <f>1024</f>
        <v>1024</v>
      </c>
      <c r="K5" s="254"/>
      <c r="L5" s="61"/>
      <c r="M5" s="61"/>
      <c r="N5" s="129"/>
      <c r="O5" s="125"/>
      <c r="P5" s="28"/>
      <c r="Q5" s="28"/>
    </row>
    <row r="6" spans="1:17" ht="15" customHeight="1" x14ac:dyDescent="0.25">
      <c r="A6" s="64" t="s">
        <v>18</v>
      </c>
      <c r="B6" s="66">
        <v>12.5</v>
      </c>
      <c r="C6" s="127" t="s">
        <v>4</v>
      </c>
      <c r="D6" s="36">
        <f>IF(C6=H3,CEILING((B6/D2),1),B6)</f>
        <v>5</v>
      </c>
      <c r="E6" s="40" t="s">
        <v>6</v>
      </c>
      <c r="F6" s="257"/>
      <c r="G6" s="258"/>
      <c r="H6" s="51" t="s">
        <v>108</v>
      </c>
      <c r="I6" s="51">
        <v>50</v>
      </c>
      <c r="J6" s="51">
        <f>2048</f>
        <v>2048</v>
      </c>
      <c r="K6" s="254"/>
      <c r="L6" s="254"/>
      <c r="M6" s="61"/>
      <c r="N6" s="129"/>
      <c r="O6" s="125"/>
      <c r="P6" s="28"/>
    </row>
    <row r="7" spans="1:17" ht="15" customHeight="1" x14ac:dyDescent="0.25">
      <c r="A7" s="64" t="s">
        <v>19</v>
      </c>
      <c r="B7" s="66">
        <v>40</v>
      </c>
      <c r="C7" s="127" t="s">
        <v>4</v>
      </c>
      <c r="D7" s="36">
        <f>IF(C7=H3,CEILING((B7/D2),1),B7)</f>
        <v>16</v>
      </c>
      <c r="E7" s="40" t="s">
        <v>6</v>
      </c>
      <c r="F7" s="259"/>
      <c r="G7" s="50"/>
      <c r="H7" s="51" t="s">
        <v>109</v>
      </c>
      <c r="I7" s="50"/>
      <c r="J7" s="51">
        <f>4096</f>
        <v>4096</v>
      </c>
      <c r="K7" s="254"/>
      <c r="L7" s="254"/>
      <c r="M7" s="61"/>
      <c r="N7" s="129"/>
      <c r="O7" s="125"/>
      <c r="P7" s="28"/>
    </row>
    <row r="8" spans="1:17" ht="15" customHeight="1" x14ac:dyDescent="0.25">
      <c r="A8" s="64" t="s">
        <v>20</v>
      </c>
      <c r="B8" s="66">
        <v>55</v>
      </c>
      <c r="C8" s="127" t="s">
        <v>4</v>
      </c>
      <c r="D8" s="36">
        <f>IF(C8=H3,CEILING((B8/D2),1),B8)</f>
        <v>22</v>
      </c>
      <c r="E8" s="40" t="s">
        <v>6</v>
      </c>
      <c r="F8" s="257"/>
      <c r="G8" s="50"/>
      <c r="H8" s="51"/>
      <c r="I8" s="51"/>
      <c r="J8" s="61"/>
      <c r="K8" s="254"/>
      <c r="L8" s="61"/>
      <c r="M8" s="61"/>
      <c r="N8" s="129"/>
      <c r="O8" s="125"/>
      <c r="P8" s="28"/>
    </row>
    <row r="9" spans="1:17" ht="15" customHeight="1" x14ac:dyDescent="0.25">
      <c r="A9" s="64" t="s">
        <v>21</v>
      </c>
      <c r="B9" s="66">
        <v>2</v>
      </c>
      <c r="C9" s="127" t="s">
        <v>6</v>
      </c>
      <c r="D9" s="36">
        <f>IF(C9=H3,CEILING((B9/D2),1),B9)</f>
        <v>2</v>
      </c>
      <c r="E9" s="40" t="s">
        <v>6</v>
      </c>
      <c r="F9" s="260"/>
      <c r="G9" s="258"/>
      <c r="H9" s="51"/>
      <c r="I9" s="51"/>
      <c r="J9" s="51"/>
      <c r="K9" s="254"/>
      <c r="L9" s="61"/>
      <c r="M9" s="61"/>
      <c r="N9" s="129"/>
      <c r="O9" s="129"/>
      <c r="P9" s="28"/>
    </row>
    <row r="10" spans="1:17" ht="15" customHeight="1" x14ac:dyDescent="0.25">
      <c r="A10" s="64" t="s">
        <v>13</v>
      </c>
      <c r="B10" s="66">
        <v>7.8</v>
      </c>
      <c r="C10" s="127" t="s">
        <v>137</v>
      </c>
      <c r="D10" s="36">
        <f>IF(C10="us",(B10/D2)*1000,B10)</f>
        <v>3120</v>
      </c>
      <c r="E10" s="40" t="s">
        <v>6</v>
      </c>
      <c r="F10" s="261"/>
      <c r="G10" s="258"/>
      <c r="H10" s="50"/>
      <c r="I10" s="51"/>
      <c r="J10" s="51"/>
      <c r="K10" s="254"/>
      <c r="L10" s="61"/>
      <c r="M10" s="61"/>
      <c r="N10" s="129"/>
      <c r="O10" s="129"/>
      <c r="P10" s="28"/>
    </row>
    <row r="11" spans="1:17" ht="15" customHeight="1" x14ac:dyDescent="0.25">
      <c r="A11" s="64" t="s">
        <v>14</v>
      </c>
      <c r="B11" s="66">
        <v>195</v>
      </c>
      <c r="C11" s="127" t="s">
        <v>4</v>
      </c>
      <c r="D11" s="36">
        <f>IF(C11=H3,CEILING((B11/D2),1),B11)</f>
        <v>78</v>
      </c>
      <c r="E11" s="40" t="s">
        <v>6</v>
      </c>
      <c r="F11" s="257"/>
      <c r="G11" s="50"/>
      <c r="H11" s="52" t="s">
        <v>104</v>
      </c>
      <c r="I11" s="52" t="s">
        <v>101</v>
      </c>
      <c r="J11" s="54" t="s">
        <v>107</v>
      </c>
      <c r="K11" s="61"/>
      <c r="L11" s="61"/>
      <c r="M11" s="61"/>
      <c r="N11" s="126"/>
      <c r="O11" s="129"/>
    </row>
    <row r="12" spans="1:17" ht="15" customHeight="1" x14ac:dyDescent="0.25">
      <c r="A12" s="64" t="s">
        <v>15</v>
      </c>
      <c r="B12" s="66">
        <v>10</v>
      </c>
      <c r="C12" s="127" t="s">
        <v>4</v>
      </c>
      <c r="D12" s="36">
        <f>IF(C12=H3,CEILING((B12/D2),1),B12)</f>
        <v>4</v>
      </c>
      <c r="E12" s="40" t="s">
        <v>6</v>
      </c>
      <c r="F12" s="257"/>
      <c r="G12" s="50"/>
      <c r="H12" s="51">
        <v>4</v>
      </c>
      <c r="I12" s="51">
        <v>3</v>
      </c>
      <c r="J12" s="51">
        <v>2</v>
      </c>
      <c r="K12" s="61"/>
      <c r="L12" s="61"/>
      <c r="M12" s="61"/>
      <c r="N12" s="125"/>
      <c r="O12" s="129"/>
    </row>
    <row r="13" spans="1:17" ht="15" customHeight="1" x14ac:dyDescent="0.25">
      <c r="A13" s="64" t="s">
        <v>8</v>
      </c>
      <c r="B13" s="66">
        <v>45</v>
      </c>
      <c r="C13" s="127" t="s">
        <v>4</v>
      </c>
      <c r="D13" s="36">
        <f>IF(C13=H3,CEILING((B13/D2),1),B13)</f>
        <v>18</v>
      </c>
      <c r="E13" s="40" t="s">
        <v>6</v>
      </c>
      <c r="F13" s="257"/>
      <c r="G13" s="255" t="s">
        <v>137</v>
      </c>
      <c r="H13" s="51">
        <v>8</v>
      </c>
      <c r="I13" s="51">
        <v>4</v>
      </c>
      <c r="J13" s="51">
        <v>3</v>
      </c>
      <c r="K13" s="61"/>
      <c r="L13" s="262"/>
      <c r="M13" s="61"/>
      <c r="N13" s="125"/>
      <c r="O13" s="129"/>
    </row>
    <row r="14" spans="1:17" ht="15" customHeight="1" x14ac:dyDescent="0.25">
      <c r="A14" s="64" t="s">
        <v>9</v>
      </c>
      <c r="B14" s="66">
        <v>7.5</v>
      </c>
      <c r="C14" s="127" t="s">
        <v>4</v>
      </c>
      <c r="D14" s="36">
        <f>IF(C14=H3,CEILING((B14/D2),1),B14)</f>
        <v>3</v>
      </c>
      <c r="E14" s="40" t="s">
        <v>6</v>
      </c>
      <c r="F14" s="263"/>
      <c r="G14" s="258" t="s">
        <v>6</v>
      </c>
      <c r="H14" s="61"/>
      <c r="I14" s="51">
        <v>5</v>
      </c>
      <c r="J14" s="51">
        <v>4</v>
      </c>
      <c r="K14" s="61"/>
      <c r="L14" s="61"/>
      <c r="M14" s="61"/>
      <c r="N14" s="125"/>
      <c r="O14" s="129"/>
    </row>
    <row r="15" spans="1:17" ht="15" customHeight="1" x14ac:dyDescent="0.25">
      <c r="A15" s="64" t="s">
        <v>10</v>
      </c>
      <c r="B15" s="66">
        <v>15</v>
      </c>
      <c r="C15" s="127" t="s">
        <v>4</v>
      </c>
      <c r="D15" s="36">
        <f>IF(C15=H3,CEILING((B15/D2),1),B15)</f>
        <v>6</v>
      </c>
      <c r="E15" s="40" t="s">
        <v>6</v>
      </c>
      <c r="F15" s="264">
        <f>IF(D15&lt;=2,1,IF(D15&lt;=3,2,IF(D15&lt;=4,3,IF(D15&lt;=5,4,IF(D15&lt;=6,5,IF(D15&lt;=7,6,IF(D15&lt;=8,7,7)))))))</f>
        <v>5</v>
      </c>
      <c r="G15" s="258"/>
      <c r="H15" s="50"/>
      <c r="I15" s="51">
        <v>6</v>
      </c>
      <c r="J15" s="51">
        <v>5</v>
      </c>
      <c r="K15" s="61"/>
      <c r="L15" s="61"/>
      <c r="M15" s="61"/>
      <c r="N15" s="125"/>
      <c r="O15" s="129"/>
    </row>
    <row r="16" spans="1:17" ht="15" customHeight="1" x14ac:dyDescent="0.25">
      <c r="A16" s="64" t="s">
        <v>11</v>
      </c>
      <c r="B16" s="66">
        <v>2</v>
      </c>
      <c r="C16" s="127" t="s">
        <v>6</v>
      </c>
      <c r="D16" s="36">
        <f>IF(C16=H3,CEILING((B16/D2),1),B16)</f>
        <v>2</v>
      </c>
      <c r="E16" s="40" t="s">
        <v>6</v>
      </c>
      <c r="F16" s="261"/>
      <c r="G16" s="258"/>
      <c r="H16" s="50"/>
      <c r="I16" s="61"/>
      <c r="J16" s="51">
        <v>6</v>
      </c>
      <c r="K16" s="61"/>
      <c r="L16" s="61"/>
      <c r="M16" s="61"/>
      <c r="N16" s="129"/>
      <c r="O16" s="129"/>
    </row>
    <row r="17" spans="1:34" ht="15" customHeight="1" x14ac:dyDescent="0.25">
      <c r="A17" s="64" t="s">
        <v>12</v>
      </c>
      <c r="B17" s="66">
        <v>3</v>
      </c>
      <c r="C17" s="127" t="s">
        <v>6</v>
      </c>
      <c r="D17" s="36">
        <f>IF(C17=H3,CEILING((B17/D2),1),B17)</f>
        <v>3</v>
      </c>
      <c r="E17" s="40" t="s">
        <v>6</v>
      </c>
      <c r="F17" s="261"/>
      <c r="G17" s="258"/>
      <c r="H17" s="51"/>
      <c r="I17" s="50"/>
      <c r="J17" s="51">
        <v>7</v>
      </c>
      <c r="K17" s="61"/>
      <c r="L17" s="61"/>
      <c r="M17" s="61"/>
      <c r="N17" s="129"/>
      <c r="O17" s="129"/>
    </row>
    <row r="18" spans="1:34" ht="15" customHeight="1" x14ac:dyDescent="0.25">
      <c r="A18" s="64" t="s">
        <v>71</v>
      </c>
      <c r="B18" s="66">
        <v>5</v>
      </c>
      <c r="C18" s="127" t="s">
        <v>6</v>
      </c>
      <c r="D18" s="34">
        <f>B18</f>
        <v>5</v>
      </c>
      <c r="E18" s="40" t="s">
        <v>6</v>
      </c>
      <c r="F18" s="265"/>
      <c r="G18" s="258"/>
      <c r="H18" s="51"/>
      <c r="I18" s="50"/>
      <c r="J18" s="51">
        <v>8</v>
      </c>
      <c r="K18" s="61"/>
      <c r="L18" s="61"/>
      <c r="M18" s="61"/>
      <c r="N18" s="129"/>
      <c r="O18" s="129"/>
    </row>
    <row r="19" spans="1:34" ht="15" customHeight="1" x14ac:dyDescent="0.25">
      <c r="A19" s="64" t="s">
        <v>69</v>
      </c>
      <c r="B19" s="66">
        <v>4</v>
      </c>
      <c r="C19" s="127" t="s">
        <v>6</v>
      </c>
      <c r="D19" s="34">
        <f>LOG(B19,2)</f>
        <v>2</v>
      </c>
      <c r="E19" s="40" t="s">
        <v>6</v>
      </c>
      <c r="F19" s="50"/>
      <c r="G19" s="50"/>
      <c r="H19" s="51"/>
      <c r="I19" s="51"/>
      <c r="J19" s="61"/>
      <c r="K19" s="61"/>
      <c r="L19" s="61"/>
      <c r="M19" s="61"/>
      <c r="N19" s="129"/>
      <c r="O19" s="129"/>
    </row>
    <row r="20" spans="1:34" ht="15" customHeight="1" x14ac:dyDescent="0.25">
      <c r="A20" s="64" t="s">
        <v>123</v>
      </c>
      <c r="B20" s="66" t="s">
        <v>108</v>
      </c>
      <c r="C20" s="127"/>
      <c r="D20" s="34">
        <f>IF(B20=H6,0,IF(B20=H7,1))</f>
        <v>0</v>
      </c>
      <c r="E20" s="42"/>
      <c r="F20" s="50"/>
      <c r="G20" s="50"/>
      <c r="H20" s="52" t="s">
        <v>105</v>
      </c>
      <c r="I20" s="52" t="s">
        <v>106</v>
      </c>
      <c r="J20" s="52" t="s">
        <v>102</v>
      </c>
      <c r="K20" s="254"/>
      <c r="L20" s="61"/>
      <c r="M20" s="61"/>
      <c r="N20" s="129"/>
      <c r="O20" s="129"/>
    </row>
    <row r="21" spans="1:34" ht="15" customHeight="1" x14ac:dyDescent="0.25">
      <c r="A21" s="64" t="s">
        <v>121</v>
      </c>
      <c r="B21" s="66">
        <v>75</v>
      </c>
      <c r="C21" s="127" t="s">
        <v>74</v>
      </c>
      <c r="D21" s="34">
        <f>IF(B21=I3,0,IF(B21=I4,1,IF(B21=I5,2,IF(B21=I6,3))))</f>
        <v>1</v>
      </c>
      <c r="E21" s="42"/>
      <c r="F21" s="50"/>
      <c r="G21" s="50"/>
      <c r="H21" s="51" t="s">
        <v>108</v>
      </c>
      <c r="I21" s="51">
        <v>0</v>
      </c>
      <c r="J21" s="51">
        <v>0</v>
      </c>
      <c r="K21" s="254"/>
      <c r="L21" s="61"/>
      <c r="M21" s="61"/>
      <c r="N21" s="129"/>
      <c r="O21" s="129"/>
    </row>
    <row r="22" spans="1:34" ht="15" customHeight="1" x14ac:dyDescent="0.25">
      <c r="A22" s="64" t="s">
        <v>72</v>
      </c>
      <c r="B22" s="66">
        <v>60</v>
      </c>
      <c r="C22" s="127" t="s">
        <v>74</v>
      </c>
      <c r="D22" s="34">
        <f>B22</f>
        <v>60</v>
      </c>
      <c r="E22" s="42"/>
      <c r="F22" s="50"/>
      <c r="G22" s="50"/>
      <c r="H22" s="51" t="s">
        <v>109</v>
      </c>
      <c r="I22" s="51">
        <v>75</v>
      </c>
      <c r="J22" s="51">
        <v>1</v>
      </c>
      <c r="K22" s="254"/>
      <c r="L22" s="61"/>
      <c r="M22" s="61"/>
      <c r="N22" s="129"/>
      <c r="O22" s="129"/>
    </row>
    <row r="23" spans="1:34" ht="15" customHeight="1" x14ac:dyDescent="0.25">
      <c r="A23" s="64" t="s">
        <v>73</v>
      </c>
      <c r="B23" s="66">
        <v>40</v>
      </c>
      <c r="C23" s="127" t="s">
        <v>74</v>
      </c>
      <c r="D23" s="34">
        <f>B23</f>
        <v>40</v>
      </c>
      <c r="E23" s="42"/>
      <c r="F23" s="50"/>
      <c r="G23" s="50"/>
      <c r="H23" s="61"/>
      <c r="I23" s="51">
        <v>150</v>
      </c>
      <c r="J23" s="51">
        <v>2</v>
      </c>
      <c r="K23" s="254"/>
      <c r="L23" s="61"/>
      <c r="M23" s="61"/>
      <c r="N23" s="129"/>
      <c r="O23" s="129"/>
    </row>
    <row r="24" spans="1:34" ht="15" customHeight="1" x14ac:dyDescent="0.25">
      <c r="A24" s="64" t="s">
        <v>89</v>
      </c>
      <c r="B24" s="66">
        <v>75</v>
      </c>
      <c r="C24" s="127" t="s">
        <v>74</v>
      </c>
      <c r="D24" s="266">
        <f>1.6*B24</f>
        <v>120</v>
      </c>
      <c r="E24" s="42"/>
      <c r="F24" s="50"/>
      <c r="G24" s="50"/>
      <c r="H24" s="51"/>
      <c r="I24" s="51">
        <v>50</v>
      </c>
      <c r="J24" s="51">
        <v>3</v>
      </c>
      <c r="K24" s="61"/>
      <c r="L24" s="267"/>
      <c r="M24" s="61"/>
      <c r="N24" s="126"/>
      <c r="O24" s="129"/>
      <c r="P24" s="29"/>
    </row>
    <row r="25" spans="1:34" ht="15" customHeight="1" x14ac:dyDescent="0.25">
      <c r="A25" s="64" t="s">
        <v>122</v>
      </c>
      <c r="B25" s="66">
        <v>0</v>
      </c>
      <c r="C25" s="127" t="s">
        <v>6</v>
      </c>
      <c r="D25" s="34">
        <f>B25</f>
        <v>0</v>
      </c>
      <c r="E25" s="36" t="s">
        <v>6</v>
      </c>
      <c r="F25" s="50"/>
      <c r="G25" s="50"/>
      <c r="H25" s="51"/>
      <c r="I25" s="61"/>
      <c r="J25" s="51">
        <v>4</v>
      </c>
      <c r="K25" s="61"/>
      <c r="L25" s="254"/>
      <c r="M25" s="61"/>
      <c r="N25" s="125"/>
      <c r="O25" s="129"/>
      <c r="P25" s="28"/>
    </row>
    <row r="26" spans="1:34" ht="15" customHeight="1" x14ac:dyDescent="0.25">
      <c r="A26" s="64" t="s">
        <v>88</v>
      </c>
      <c r="B26" s="128">
        <v>80000000</v>
      </c>
      <c r="C26" s="139" t="s">
        <v>116</v>
      </c>
      <c r="D26" s="268">
        <f>HEX2DEC(B26)</f>
        <v>2147483648</v>
      </c>
      <c r="E26" s="67"/>
      <c r="F26" s="50"/>
      <c r="G26" s="50"/>
      <c r="H26" s="50"/>
      <c r="I26" s="50"/>
      <c r="J26" s="51">
        <v>5</v>
      </c>
      <c r="K26" s="61"/>
      <c r="L26" s="254"/>
      <c r="M26" s="61"/>
      <c r="N26" s="125"/>
      <c r="O26" s="129"/>
      <c r="P26" s="28"/>
    </row>
    <row r="27" spans="1:34" ht="15.75" thickBot="1" x14ac:dyDescent="0.3">
      <c r="D27" s="129"/>
      <c r="E27" s="129"/>
      <c r="F27" s="62"/>
      <c r="G27" s="62"/>
      <c r="H27" s="129"/>
      <c r="I27" s="129"/>
      <c r="J27" s="129"/>
      <c r="K27" s="129"/>
      <c r="L27" s="125"/>
      <c r="M27" s="129"/>
      <c r="N27" s="125"/>
      <c r="O27" s="129"/>
      <c r="P27" s="28"/>
    </row>
    <row r="28" spans="1:34" ht="30" customHeight="1" thickBot="1" x14ac:dyDescent="0.3">
      <c r="A28" s="30" t="s">
        <v>23</v>
      </c>
      <c r="B28" s="30" t="s">
        <v>24</v>
      </c>
      <c r="C28" s="131">
        <v>31</v>
      </c>
      <c r="D28" s="131">
        <v>30</v>
      </c>
      <c r="E28" s="131">
        <v>29</v>
      </c>
      <c r="F28" s="131">
        <v>28</v>
      </c>
      <c r="G28" s="131">
        <v>27</v>
      </c>
      <c r="H28" s="131">
        <v>26</v>
      </c>
      <c r="I28" s="131">
        <v>25</v>
      </c>
      <c r="J28" s="131">
        <v>24</v>
      </c>
      <c r="K28" s="131">
        <v>23</v>
      </c>
      <c r="L28" s="131">
        <v>22</v>
      </c>
      <c r="M28" s="131">
        <v>21</v>
      </c>
      <c r="N28" s="131">
        <v>20</v>
      </c>
      <c r="O28" s="131">
        <v>19</v>
      </c>
      <c r="P28" s="131">
        <v>18</v>
      </c>
      <c r="Q28" s="131">
        <v>17</v>
      </c>
      <c r="R28" s="131">
        <v>16</v>
      </c>
      <c r="S28" s="131">
        <v>15</v>
      </c>
      <c r="T28" s="131">
        <v>14</v>
      </c>
      <c r="U28" s="131">
        <v>13</v>
      </c>
      <c r="V28" s="131">
        <v>12</v>
      </c>
      <c r="W28" s="131">
        <v>11</v>
      </c>
      <c r="X28" s="131">
        <v>10</v>
      </c>
      <c r="Y28" s="131">
        <v>9</v>
      </c>
      <c r="Z28" s="131">
        <v>8</v>
      </c>
      <c r="AA28" s="131">
        <v>7</v>
      </c>
      <c r="AB28" s="131">
        <v>6</v>
      </c>
      <c r="AC28" s="131">
        <v>5</v>
      </c>
      <c r="AD28" s="131">
        <v>4</v>
      </c>
      <c r="AE28" s="131">
        <v>3</v>
      </c>
      <c r="AF28" s="131">
        <v>2</v>
      </c>
      <c r="AG28" s="131">
        <v>1</v>
      </c>
      <c r="AH28" s="131">
        <v>0</v>
      </c>
    </row>
    <row r="29" spans="1:34" ht="15.75" thickBot="1" x14ac:dyDescent="0.3">
      <c r="A29" s="48"/>
      <c r="B29" s="48"/>
      <c r="C29" s="132"/>
      <c r="D29" s="132"/>
      <c r="E29" s="132"/>
      <c r="F29" s="132"/>
      <c r="G29" s="132"/>
      <c r="H29" s="132"/>
      <c r="I29" s="132"/>
      <c r="J29" s="132"/>
      <c r="K29" s="132"/>
      <c r="L29" s="132"/>
      <c r="M29" s="132"/>
      <c r="N29" s="132"/>
      <c r="O29" s="132"/>
      <c r="P29" s="132"/>
      <c r="Q29" s="132"/>
      <c r="R29" s="132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  <c r="AF29" s="132"/>
      <c r="AG29" s="132"/>
      <c r="AH29" s="133"/>
    </row>
    <row r="30" spans="1:34" ht="15.75" thickBot="1" x14ac:dyDescent="0.3">
      <c r="A30" s="207" t="s">
        <v>25</v>
      </c>
      <c r="B30" s="209" t="str">
        <f xml:space="preserve"> DEC2HEX(AH31 + AG31*2 + AF31*2^2 + AE31*2^3 + AD31*2^4 + AC31*2^5 + AB31*2^6 + AA31*2^7 + Z31*2^8 + Y31*2^9 + X31*2^10 + W31*2^11 + V31*2^12+ U31*2^13 + T31*2^14 + S31*2^15 + R31*2^16 + Q31*2^17 + P31*2^18 + O31*2^19 + N31*2^20 + M31*2^21 + L31*2^22 + K31*2^23 + J31*2^24 + I31*2^25 + H31*2^26 + G31*2^27 + F31*2^28 +  E31*2^29 +  D31*2^30 + C31*2^31,8)</f>
        <v>00000404</v>
      </c>
      <c r="C30" s="216" t="s">
        <v>26</v>
      </c>
      <c r="D30" s="226"/>
      <c r="E30" s="226"/>
      <c r="F30" s="226"/>
      <c r="G30" s="226"/>
      <c r="H30" s="217"/>
      <c r="I30" s="1" t="s">
        <v>27</v>
      </c>
      <c r="J30" s="2" t="s">
        <v>28</v>
      </c>
      <c r="K30" s="216" t="s">
        <v>26</v>
      </c>
      <c r="L30" s="226"/>
      <c r="M30" s="226"/>
      <c r="N30" s="226"/>
      <c r="O30" s="226"/>
      <c r="P30" s="226"/>
      <c r="Q30" s="226"/>
      <c r="R30" s="226"/>
      <c r="S30" s="226"/>
      <c r="T30" s="217"/>
      <c r="U30" s="2" t="s">
        <v>29</v>
      </c>
      <c r="V30" s="2" t="s">
        <v>30</v>
      </c>
      <c r="W30" s="245" t="s">
        <v>31</v>
      </c>
      <c r="X30" s="246"/>
      <c r="Y30" s="247"/>
      <c r="Z30" s="1" t="s">
        <v>32</v>
      </c>
      <c r="AA30" s="2" t="s">
        <v>33</v>
      </c>
      <c r="AB30" s="2" t="s">
        <v>34</v>
      </c>
      <c r="AC30" s="2" t="s">
        <v>35</v>
      </c>
      <c r="AD30" s="2" t="s">
        <v>36</v>
      </c>
      <c r="AE30" s="2" t="s">
        <v>37</v>
      </c>
      <c r="AF30" s="49" t="s">
        <v>38</v>
      </c>
      <c r="AG30" s="49" t="s">
        <v>39</v>
      </c>
      <c r="AH30" s="49" t="s">
        <v>40</v>
      </c>
    </row>
    <row r="31" spans="1:34" ht="15.75" thickBot="1" x14ac:dyDescent="0.3">
      <c r="A31" s="208"/>
      <c r="B31" s="210"/>
      <c r="C31" s="218"/>
      <c r="D31" s="227"/>
      <c r="E31" s="227"/>
      <c r="F31" s="227"/>
      <c r="G31" s="227"/>
      <c r="H31" s="219"/>
      <c r="I31" s="3">
        <v>0</v>
      </c>
      <c r="J31" s="3">
        <v>0</v>
      </c>
      <c r="K31" s="218"/>
      <c r="L31" s="227"/>
      <c r="M31" s="227"/>
      <c r="N31" s="227"/>
      <c r="O31" s="227"/>
      <c r="P31" s="227"/>
      <c r="Q31" s="227"/>
      <c r="R31" s="227"/>
      <c r="S31" s="227"/>
      <c r="T31" s="219"/>
      <c r="U31" s="3">
        <v>0</v>
      </c>
      <c r="V31" s="3">
        <v>0</v>
      </c>
      <c r="W31" s="4">
        <v>0</v>
      </c>
      <c r="X31" s="5">
        <v>1</v>
      </c>
      <c r="Y31" s="10">
        <v>0</v>
      </c>
      <c r="Z31" s="3">
        <v>0</v>
      </c>
      <c r="AA31" s="3">
        <v>0</v>
      </c>
      <c r="AB31" s="3">
        <v>0</v>
      </c>
      <c r="AC31" s="3">
        <v>0</v>
      </c>
      <c r="AD31" s="3">
        <v>0</v>
      </c>
      <c r="AE31" s="3">
        <v>0</v>
      </c>
      <c r="AF31" s="3">
        <v>1</v>
      </c>
      <c r="AG31" s="3">
        <v>0</v>
      </c>
      <c r="AH31" s="3">
        <v>0</v>
      </c>
    </row>
    <row r="32" spans="1:34" ht="15.75" thickBot="1" x14ac:dyDescent="0.3">
      <c r="A32" s="47"/>
      <c r="B32" s="59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</row>
    <row r="33" spans="1:35" ht="15.75" thickBot="1" x14ac:dyDescent="0.3">
      <c r="A33" s="248" t="s">
        <v>41</v>
      </c>
      <c r="B33" s="243" t="str">
        <f xml:space="preserve"> DEC2HEX(AH34 + AG34*2 + AF34*2^2 + AE34*2^3 + AD34*2^4 + AC34*2^5 + AB34*2^6 + AA34*2^7 + Z34*2^8 + Y34*2^9 + X34*2^10 + W34*2^11 + V34*2^12+ U34*2^13 + T34*2^14 + S34*2^15 + R34*2^16 + Q34*2^17 + P34*2^18 + O34*2^19 + N34*2^20 + M34*2^21 + L34*2^22 + K34*2^23 + J34*2^24 + I34*2^25 + H34*2^26 + G34*2^27 + F34*2^28 +  E34*2^29 +  D34*2^30 + C34*2^31,8)</f>
        <v>00000522</v>
      </c>
      <c r="C33" s="216" t="s">
        <v>26</v>
      </c>
      <c r="D33" s="226"/>
      <c r="E33" s="226"/>
      <c r="F33" s="226"/>
      <c r="G33" s="226"/>
      <c r="H33" s="226"/>
      <c r="I33" s="226"/>
      <c r="J33" s="226"/>
      <c r="K33" s="226"/>
      <c r="L33" s="226"/>
      <c r="M33" s="226"/>
      <c r="N33" s="226"/>
      <c r="O33" s="226"/>
      <c r="P33" s="226"/>
      <c r="Q33" s="226"/>
      <c r="R33" s="217"/>
      <c r="S33" s="245" t="s">
        <v>42</v>
      </c>
      <c r="T33" s="246"/>
      <c r="U33" s="246"/>
      <c r="V33" s="247"/>
      <c r="W33" s="245" t="s">
        <v>43</v>
      </c>
      <c r="X33" s="246"/>
      <c r="Y33" s="246"/>
      <c r="Z33" s="247"/>
      <c r="AA33" s="245" t="s">
        <v>44</v>
      </c>
      <c r="AB33" s="246"/>
      <c r="AC33" s="246"/>
      <c r="AD33" s="247"/>
      <c r="AE33" s="245" t="s">
        <v>45</v>
      </c>
      <c r="AF33" s="246"/>
      <c r="AG33" s="246"/>
      <c r="AH33" s="247"/>
    </row>
    <row r="34" spans="1:35" ht="15.75" thickBot="1" x14ac:dyDescent="0.3">
      <c r="A34" s="249"/>
      <c r="B34" s="244"/>
      <c r="C34" s="218"/>
      <c r="D34" s="227"/>
      <c r="E34" s="227"/>
      <c r="F34" s="227"/>
      <c r="G34" s="227"/>
      <c r="H34" s="227"/>
      <c r="I34" s="227"/>
      <c r="J34" s="227"/>
      <c r="K34" s="227"/>
      <c r="L34" s="227"/>
      <c r="M34" s="227"/>
      <c r="N34" s="227"/>
      <c r="O34" s="227"/>
      <c r="P34" s="227"/>
      <c r="Q34" s="227"/>
      <c r="R34" s="219"/>
      <c r="S34" s="4">
        <v>0</v>
      </c>
      <c r="T34" s="5">
        <v>0</v>
      </c>
      <c r="U34" s="5">
        <v>0</v>
      </c>
      <c r="V34" s="6">
        <v>0</v>
      </c>
      <c r="W34" s="4">
        <f>MOD(INT(D3/8),2)</f>
        <v>0</v>
      </c>
      <c r="X34" s="5">
        <f xml:space="preserve"> MOD(INT(D3/4),2)</f>
        <v>1</v>
      </c>
      <c r="Y34" s="5">
        <f>MOD(INT(D3/2),2)</f>
        <v>0</v>
      </c>
      <c r="Z34" s="6">
        <f xml:space="preserve"> MOD(D3,2)</f>
        <v>1</v>
      </c>
      <c r="AA34" s="7">
        <v>0</v>
      </c>
      <c r="AB34" s="8">
        <v>0</v>
      </c>
      <c r="AC34" s="9">
        <v>1</v>
      </c>
      <c r="AD34" s="6">
        <v>0</v>
      </c>
      <c r="AE34" s="7">
        <v>0</v>
      </c>
      <c r="AF34" s="8">
        <v>0</v>
      </c>
      <c r="AG34" s="5">
        <v>1</v>
      </c>
      <c r="AH34" s="6">
        <v>0</v>
      </c>
    </row>
    <row r="35" spans="1:35" ht="15.75" thickBot="1" x14ac:dyDescent="0.3">
      <c r="A35" s="47"/>
      <c r="B35" s="59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</row>
    <row r="36" spans="1:35" ht="15.75" thickBot="1" x14ac:dyDescent="0.3">
      <c r="A36" s="248" t="s">
        <v>46</v>
      </c>
      <c r="B36" s="243" t="str">
        <f xml:space="preserve"> DEC2HEX(AH37 + AG37*2 + AF37*2^2 + AE37*2^3 + AD37*2^4 + AC37*2^5 + AB37*2^6 + AA37*2^7 + Z37*2^8 + Y37*2^9 + X37*2^10 + W37*2^11 + V37*2^12+ U37*2^13 + T37*2^14 + S37*2^15 + R37*2^16 + Q37*2^17 + P37*2^18 + O37*2^19 + N37*2^20 + M37*2^21 + L37*2^22 + K37*2^23 + J37*2^24 + I37*2^25 + H37*2^26 + G37*2^27 + F37*2^28 +  E37*2^29 +  D37*2^30 + C37*2^31,8)</f>
        <v>21610535</v>
      </c>
      <c r="C36" s="245" t="s">
        <v>21</v>
      </c>
      <c r="D36" s="246"/>
      <c r="E36" s="246"/>
      <c r="F36" s="247"/>
      <c r="G36" s="216" t="s">
        <v>26</v>
      </c>
      <c r="H36" s="217"/>
      <c r="I36" s="245" t="s">
        <v>20</v>
      </c>
      <c r="J36" s="246"/>
      <c r="K36" s="246"/>
      <c r="L36" s="246"/>
      <c r="M36" s="246"/>
      <c r="N36" s="247"/>
      <c r="O36" s="216" t="s">
        <v>26</v>
      </c>
      <c r="P36" s="226"/>
      <c r="Q36" s="217"/>
      <c r="R36" s="245" t="s">
        <v>19</v>
      </c>
      <c r="S36" s="246"/>
      <c r="T36" s="246"/>
      <c r="U36" s="246"/>
      <c r="V36" s="247"/>
      <c r="W36" s="245" t="s">
        <v>18</v>
      </c>
      <c r="X36" s="246"/>
      <c r="Y36" s="246"/>
      <c r="Z36" s="247"/>
      <c r="AA36" s="245" t="s">
        <v>17</v>
      </c>
      <c r="AB36" s="246"/>
      <c r="AC36" s="246"/>
      <c r="AD36" s="247"/>
      <c r="AE36" s="245" t="s">
        <v>16</v>
      </c>
      <c r="AF36" s="246"/>
      <c r="AG36" s="246"/>
      <c r="AH36" s="247"/>
    </row>
    <row r="37" spans="1:35" ht="15.75" thickBot="1" x14ac:dyDescent="0.3">
      <c r="A37" s="249"/>
      <c r="B37" s="244"/>
      <c r="C37" s="7">
        <f>MOD(INT(D9/8),2)</f>
        <v>0</v>
      </c>
      <c r="D37" s="8">
        <f>MOD(INT(D9/4),2)</f>
        <v>0</v>
      </c>
      <c r="E37" s="9">
        <f>MOD(INT(D9/2),2)</f>
        <v>1</v>
      </c>
      <c r="F37" s="6">
        <f>MOD(D9,2)</f>
        <v>0</v>
      </c>
      <c r="G37" s="218"/>
      <c r="H37" s="219"/>
      <c r="I37" s="4">
        <f>MOD(INT(D8/32),2)</f>
        <v>0</v>
      </c>
      <c r="J37" s="5">
        <f>MOD(INT(D8/16),2)</f>
        <v>1</v>
      </c>
      <c r="K37" s="5">
        <f>MOD(INT(D8/8),2)</f>
        <v>0</v>
      </c>
      <c r="L37" s="5">
        <f>MOD(INT(D8/4),2)</f>
        <v>1</v>
      </c>
      <c r="M37" s="5">
        <f>MOD(INT(D8/2),2)</f>
        <v>1</v>
      </c>
      <c r="N37" s="6">
        <f>MOD(D8,2)</f>
        <v>0</v>
      </c>
      <c r="O37" s="218"/>
      <c r="P37" s="227"/>
      <c r="Q37" s="219"/>
      <c r="R37" s="7">
        <f>MOD(INT(D7/16),2)</f>
        <v>1</v>
      </c>
      <c r="S37" s="5">
        <f>MOD(INT(D7/8),2)</f>
        <v>0</v>
      </c>
      <c r="T37" s="8">
        <f>MOD(INT(D7/4),2)</f>
        <v>0</v>
      </c>
      <c r="U37" s="9">
        <f>MOD(INT(D7/2),2)</f>
        <v>0</v>
      </c>
      <c r="V37" s="6">
        <f>MOD(D7,2)</f>
        <v>0</v>
      </c>
      <c r="W37" s="4">
        <f>MOD(INT(D6/8),2)</f>
        <v>0</v>
      </c>
      <c r="X37" s="9">
        <f>MOD(INT(D6/4),2)</f>
        <v>1</v>
      </c>
      <c r="Y37" s="5">
        <f>MOD(INT(D6/2),2)</f>
        <v>0</v>
      </c>
      <c r="Z37" s="10">
        <f>MOD(D6,2)</f>
        <v>1</v>
      </c>
      <c r="AA37" s="4">
        <f>MOD(INT(D5/8),2)</f>
        <v>0</v>
      </c>
      <c r="AB37" s="5">
        <f>MOD(INT(D5/4),2)</f>
        <v>0</v>
      </c>
      <c r="AC37" s="5">
        <f>MOD(INT(D5/2),2)</f>
        <v>1</v>
      </c>
      <c r="AD37" s="10">
        <f>MOD(D5,2)</f>
        <v>1</v>
      </c>
      <c r="AE37" s="4">
        <f>MOD(INT(D4/8),2)</f>
        <v>0</v>
      </c>
      <c r="AF37" s="9">
        <f>MOD(INT(D4/4),2)</f>
        <v>1</v>
      </c>
      <c r="AG37" s="9">
        <f>MOD(INT(D4/2),2)</f>
        <v>0</v>
      </c>
      <c r="AH37" s="6">
        <f>MOD(D4,2)</f>
        <v>1</v>
      </c>
    </row>
    <row r="38" spans="1:35" ht="15.75" thickBot="1" x14ac:dyDescent="0.3">
      <c r="A38" s="47"/>
      <c r="B38" s="59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</row>
    <row r="39" spans="1:35" ht="15.75" thickBot="1" x14ac:dyDescent="0.3">
      <c r="A39" s="248" t="s">
        <v>47</v>
      </c>
      <c r="B39" s="250" t="str">
        <f xml:space="preserve"> DEC2HEX(AH40+AG40*2+AF40*2^2+AE40*2^3+AD40*2^4+AC40*2^5+AB40*2^6+AA40*2^7+Z40*2^8+Y40*2^9+X40*2^10+W40*2^11+V40*2^12+U40*2^13+T40*2^14+S40*2^15+R40*2^16+Q40*2^17+P40*2^18+O40*2^19+N40*2^20+M40*2^21+L40*2^22+K40*2^23+J40*2^24+I40*2^25+H40*2^26+G40*2^27+F40*2^28+E40*2^29+D40*2^30+C40*2^31,8)</f>
        <v>404E0C30</v>
      </c>
      <c r="C39" s="241" t="s">
        <v>26</v>
      </c>
      <c r="D39" s="245" t="s">
        <v>15</v>
      </c>
      <c r="E39" s="246"/>
      <c r="F39" s="247"/>
      <c r="G39" s="216" t="s">
        <v>26</v>
      </c>
      <c r="H39" s="226"/>
      <c r="I39" s="226"/>
      <c r="J39" s="217"/>
      <c r="K39" s="211" t="s">
        <v>14</v>
      </c>
      <c r="L39" s="212"/>
      <c r="M39" s="212"/>
      <c r="N39" s="212"/>
      <c r="O39" s="212"/>
      <c r="P39" s="212"/>
      <c r="Q39" s="212"/>
      <c r="R39" s="213"/>
      <c r="S39" s="216" t="s">
        <v>26</v>
      </c>
      <c r="T39" s="217"/>
      <c r="U39" s="245" t="s">
        <v>13</v>
      </c>
      <c r="V39" s="246"/>
      <c r="W39" s="246"/>
      <c r="X39" s="246"/>
      <c r="Y39" s="246"/>
      <c r="Z39" s="246"/>
      <c r="AA39" s="246"/>
      <c r="AB39" s="246"/>
      <c r="AC39" s="246"/>
      <c r="AD39" s="246"/>
      <c r="AE39" s="246"/>
      <c r="AF39" s="246"/>
      <c r="AG39" s="246"/>
      <c r="AH39" s="247"/>
    </row>
    <row r="40" spans="1:35" ht="15.75" thickBot="1" x14ac:dyDescent="0.3">
      <c r="A40" s="249"/>
      <c r="B40" s="251"/>
      <c r="C40" s="242"/>
      <c r="D40" s="11">
        <f>MOD(INT(D12/4),2)</f>
        <v>1</v>
      </c>
      <c r="E40" s="12">
        <f>MOD(INT(D12/2),2)</f>
        <v>0</v>
      </c>
      <c r="F40" s="13">
        <f>MOD(D12,2)</f>
        <v>0</v>
      </c>
      <c r="G40" s="218"/>
      <c r="H40" s="227"/>
      <c r="I40" s="227"/>
      <c r="J40" s="219"/>
      <c r="K40" s="11">
        <f>MOD(INT(D11/128),2)</f>
        <v>0</v>
      </c>
      <c r="L40" s="12">
        <f>MOD(INT(D11/64),2)</f>
        <v>1</v>
      </c>
      <c r="M40" s="12">
        <f>MOD(INT(D11/32),2)</f>
        <v>0</v>
      </c>
      <c r="N40" s="12">
        <f>MOD(INT(D11/16),2)</f>
        <v>0</v>
      </c>
      <c r="O40" s="14">
        <f>MOD(INT(D11/8),2)</f>
        <v>1</v>
      </c>
      <c r="P40" s="14">
        <f>MOD(INT(D11/4),2)</f>
        <v>1</v>
      </c>
      <c r="Q40" s="14">
        <f>MOD(INT(D11/2),2)</f>
        <v>1</v>
      </c>
      <c r="R40" s="15">
        <f>MOD(D11,2)</f>
        <v>0</v>
      </c>
      <c r="S40" s="218"/>
      <c r="T40" s="219"/>
      <c r="U40" s="11">
        <f>MOD(INT(D10/8192),2)</f>
        <v>0</v>
      </c>
      <c r="V40" s="12">
        <f>MOD(INT(D10/4096),2)</f>
        <v>0</v>
      </c>
      <c r="W40" s="12">
        <f>MOD(INT(D10/2048),2)</f>
        <v>1</v>
      </c>
      <c r="X40" s="12">
        <f>MOD(INT(D10/1024),2)</f>
        <v>1</v>
      </c>
      <c r="Y40" s="12">
        <f>MOD(INT(D10/512),2)</f>
        <v>0</v>
      </c>
      <c r="Z40" s="12">
        <f>MOD(INT(D10/256),2)</f>
        <v>0</v>
      </c>
      <c r="AA40" s="12">
        <f>MOD(INT(D10/128),2)</f>
        <v>0</v>
      </c>
      <c r="AB40" s="12">
        <f>MOD(INT(D10/64),2)</f>
        <v>0</v>
      </c>
      <c r="AC40" s="12">
        <f>MOD(INT(D10/32),2)</f>
        <v>1</v>
      </c>
      <c r="AD40" s="12">
        <f>MOD(INT(D10/16),2)</f>
        <v>1</v>
      </c>
      <c r="AE40" s="14">
        <f>MOD(INT(D10/8),2)</f>
        <v>0</v>
      </c>
      <c r="AF40" s="16">
        <f>MOD(INT(D10/4),2)</f>
        <v>0</v>
      </c>
      <c r="AG40" s="12">
        <f>MOD(INT(D10/2),2)</f>
        <v>0</v>
      </c>
      <c r="AH40" s="13">
        <f>MOD(D10,2)</f>
        <v>0</v>
      </c>
    </row>
    <row r="41" spans="1:35" ht="15.75" thickBot="1" x14ac:dyDescent="0.3">
      <c r="A41" s="31"/>
      <c r="B41" s="59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8"/>
      <c r="AE41" s="17"/>
      <c r="AF41" s="17"/>
      <c r="AG41" s="17"/>
      <c r="AH41" s="17"/>
    </row>
    <row r="42" spans="1:35" ht="15.75" thickBot="1" x14ac:dyDescent="0.3">
      <c r="A42" s="228" t="s">
        <v>48</v>
      </c>
      <c r="B42" s="243" t="str">
        <f xml:space="preserve"> DEC2HEX(AH43 + AG43*2 + AF43*2^2 + AE43*2^3 + AD43*2^4 + AC43*2^5 + AB43*2^6 + AA43*2^7 + Z43*2^8 + Y43*2^9 + X43*2^10 + W43*2^11 + V43*2^12+ U43*2^13 + T43*2^14 + S43*2^15 + R43*2^16 + Q43*2^17 + P43*2^18 + O43*2^19 + N43*2^20 + M43*2^21 + L43*2^22 + K43*2^23 + J43*2^24 + I43*2^25 + H43*2^26 + G43*2^27 + F43*2^28 +  E43*2^29 +  D43*2^30 + C43*2^31,8)</f>
        <v>00326312</v>
      </c>
      <c r="C42" s="216" t="s">
        <v>26</v>
      </c>
      <c r="D42" s="226"/>
      <c r="E42" s="226"/>
      <c r="F42" s="226"/>
      <c r="G42" s="226"/>
      <c r="H42" s="226"/>
      <c r="I42" s="226"/>
      <c r="J42" s="217"/>
      <c r="K42" s="232" t="s">
        <v>12</v>
      </c>
      <c r="L42" s="233"/>
      <c r="M42" s="233"/>
      <c r="N42" s="234"/>
      <c r="O42" s="211" t="s">
        <v>11</v>
      </c>
      <c r="P42" s="212"/>
      <c r="Q42" s="212"/>
      <c r="R42" s="213"/>
      <c r="S42" s="232" t="s">
        <v>10</v>
      </c>
      <c r="T42" s="233"/>
      <c r="U42" s="233"/>
      <c r="V42" s="234"/>
      <c r="W42" s="232" t="s">
        <v>9</v>
      </c>
      <c r="X42" s="233"/>
      <c r="Y42" s="233"/>
      <c r="Z42" s="234"/>
      <c r="AA42" s="216" t="s">
        <v>26</v>
      </c>
      <c r="AB42" s="226"/>
      <c r="AC42" s="217"/>
      <c r="AD42" s="232" t="s">
        <v>8</v>
      </c>
      <c r="AE42" s="233"/>
      <c r="AF42" s="233"/>
      <c r="AG42" s="233"/>
      <c r="AH42" s="234"/>
    </row>
    <row r="43" spans="1:35" ht="15.75" thickBot="1" x14ac:dyDescent="0.3">
      <c r="A43" s="229"/>
      <c r="B43" s="244"/>
      <c r="C43" s="218"/>
      <c r="D43" s="227"/>
      <c r="E43" s="227"/>
      <c r="F43" s="227"/>
      <c r="G43" s="227"/>
      <c r="H43" s="227"/>
      <c r="I43" s="227"/>
      <c r="J43" s="219"/>
      <c r="K43" s="7">
        <f>MOD(INT(D17/8),2)</f>
        <v>0</v>
      </c>
      <c r="L43" s="5">
        <f>MOD(INT(D17/4),2)</f>
        <v>0</v>
      </c>
      <c r="M43" s="5">
        <f>MOD(INT(D17/2),2)</f>
        <v>1</v>
      </c>
      <c r="N43" s="6">
        <f>MOD(D17,2)</f>
        <v>1</v>
      </c>
      <c r="O43" s="7">
        <f>MOD(INT(D16/8),2)</f>
        <v>0</v>
      </c>
      <c r="P43" s="5">
        <f>MOD(INT(D16/4),2)</f>
        <v>0</v>
      </c>
      <c r="Q43" s="5">
        <f>MOD(INT(D16/2),2)</f>
        <v>1</v>
      </c>
      <c r="R43" s="6">
        <f>MOD(D16,2)</f>
        <v>0</v>
      </c>
      <c r="S43" s="7">
        <f>MOD(INT(D15/8),2)</f>
        <v>0</v>
      </c>
      <c r="T43" s="5">
        <f>MOD(INT(D15/4),2)</f>
        <v>1</v>
      </c>
      <c r="U43" s="5">
        <f>MOD(INT(D15/2),2)</f>
        <v>1</v>
      </c>
      <c r="V43" s="6">
        <f>MOD(D15,2)</f>
        <v>0</v>
      </c>
      <c r="W43" s="7">
        <f>MOD(INT(D14/8),2)</f>
        <v>0</v>
      </c>
      <c r="X43" s="5">
        <f>MOD(INT(D14/4),2)</f>
        <v>0</v>
      </c>
      <c r="Y43" s="5">
        <f>MOD(INT(D14/2),2)</f>
        <v>1</v>
      </c>
      <c r="Z43" s="6">
        <f>MOD(D14,2)</f>
        <v>1</v>
      </c>
      <c r="AA43" s="218"/>
      <c r="AB43" s="227"/>
      <c r="AC43" s="219"/>
      <c r="AD43" s="7">
        <f>MOD(INT(D13/16),2)</f>
        <v>1</v>
      </c>
      <c r="AE43" s="5">
        <f>MOD(INT(D13/8),2)</f>
        <v>0</v>
      </c>
      <c r="AF43" s="5">
        <f>MOD(INT(D13/4),2)</f>
        <v>0</v>
      </c>
      <c r="AG43" s="5">
        <f>MOD(INT(D13/2),2)</f>
        <v>1</v>
      </c>
      <c r="AH43" s="6">
        <f>MOD(D13,2)</f>
        <v>0</v>
      </c>
    </row>
    <row r="44" spans="1:35" ht="15.75" thickBot="1" x14ac:dyDescent="0.3">
      <c r="A44" s="32"/>
      <c r="B44" s="60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</row>
    <row r="45" spans="1:35" ht="15.75" thickBot="1" x14ac:dyDescent="0.3">
      <c r="A45" s="207" t="s">
        <v>110</v>
      </c>
      <c r="B45" s="209" t="str">
        <f xml:space="preserve"> DEC2HEX(AH46+ AG46*2 + AF46*2^2 + AE46*2^3 + AD46*2^4 + AC46*2^5 + AB46*2^6 + AA46*2^7 + Z46*2^8 + Y46*2^9 + X46*2^10 + W46*2^11 + V46*2^12+ U46*2^13 + T46*2^14 + S46*2^15 + R46*2^16 + Q46*2^17 + P46*2^18 + O46*2^19 + N46*2^20 + M46*2^21 + L46*2^22 + K46*2^23 + J46*2^24 + I46*2^25 + H46*2^26 + G46*2^27 + F46*2^28 +  E46*2^29 +  D46*2^30 + C46*2^31,8)</f>
        <v>00000A52</v>
      </c>
      <c r="C45" s="216" t="s">
        <v>26</v>
      </c>
      <c r="D45" s="226"/>
      <c r="E45" s="226"/>
      <c r="F45" s="226"/>
      <c r="G45" s="226"/>
      <c r="H45" s="226"/>
      <c r="I45" s="226"/>
      <c r="J45" s="226"/>
      <c r="K45" s="226"/>
      <c r="L45" s="226"/>
      <c r="M45" s="226"/>
      <c r="N45" s="226"/>
      <c r="O45" s="226"/>
      <c r="P45" s="226"/>
      <c r="Q45" s="226"/>
      <c r="R45" s="226"/>
      <c r="S45" s="226"/>
      <c r="T45" s="226"/>
      <c r="U45" s="217"/>
      <c r="V45" s="1" t="s">
        <v>49</v>
      </c>
      <c r="W45" s="238" t="s">
        <v>50</v>
      </c>
      <c r="X45" s="240"/>
      <c r="Y45" s="239"/>
      <c r="Z45" s="162" t="s">
        <v>51</v>
      </c>
      <c r="AA45" s="241" t="s">
        <v>26</v>
      </c>
      <c r="AB45" s="238" t="s">
        <v>5</v>
      </c>
      <c r="AC45" s="240"/>
      <c r="AD45" s="239"/>
      <c r="AE45" s="216" t="s">
        <v>26</v>
      </c>
      <c r="AF45" s="217"/>
      <c r="AG45" s="238" t="s">
        <v>53</v>
      </c>
      <c r="AH45" s="239"/>
    </row>
    <row r="46" spans="1:35" ht="15.75" thickBot="1" x14ac:dyDescent="0.3">
      <c r="A46" s="208"/>
      <c r="B46" s="210"/>
      <c r="C46" s="218"/>
      <c r="D46" s="227"/>
      <c r="E46" s="227"/>
      <c r="F46" s="227"/>
      <c r="G46" s="227"/>
      <c r="H46" s="227"/>
      <c r="I46" s="227"/>
      <c r="J46" s="227"/>
      <c r="K46" s="227"/>
      <c r="L46" s="227"/>
      <c r="M46" s="227"/>
      <c r="N46" s="227"/>
      <c r="O46" s="227"/>
      <c r="P46" s="227"/>
      <c r="Q46" s="227"/>
      <c r="R46" s="227"/>
      <c r="S46" s="227"/>
      <c r="T46" s="227"/>
      <c r="U46" s="219"/>
      <c r="V46" s="55">
        <v>0</v>
      </c>
      <c r="W46" s="43">
        <f>MOD(INT(F15/4),2)</f>
        <v>1</v>
      </c>
      <c r="X46" s="44">
        <f>MOD(INT(F15/2),2)</f>
        <v>0</v>
      </c>
      <c r="Y46" s="45">
        <f>MOD(F15,2)</f>
        <v>1</v>
      </c>
      <c r="Z46" s="55">
        <v>0</v>
      </c>
      <c r="AA46" s="242"/>
      <c r="AB46" s="43">
        <f>MOD(INT(D18/4),2)</f>
        <v>1</v>
      </c>
      <c r="AC46" s="44">
        <f>MOD(INT(D18/2),2)</f>
        <v>0</v>
      </c>
      <c r="AD46" s="45">
        <f>MOD(D18,2)</f>
        <v>1</v>
      </c>
      <c r="AE46" s="218"/>
      <c r="AF46" s="219"/>
      <c r="AG46" s="43">
        <f>MOD(INT(D19/2),2)</f>
        <v>1</v>
      </c>
      <c r="AH46" s="45">
        <f>MOD(D19,2)</f>
        <v>0</v>
      </c>
      <c r="AI46" s="129"/>
    </row>
    <row r="47" spans="1:35" ht="15.75" thickBot="1" x14ac:dyDescent="0.3">
      <c r="A47" s="32"/>
      <c r="B47" s="60"/>
      <c r="C47" s="134"/>
      <c r="D47" s="134"/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  <c r="Q47" s="134"/>
      <c r="R47" s="134"/>
      <c r="S47" s="134"/>
      <c r="T47" s="134"/>
      <c r="U47" s="134"/>
      <c r="V47" s="134"/>
      <c r="W47" s="134"/>
      <c r="X47" s="134"/>
      <c r="Y47" s="134"/>
      <c r="Z47" s="134"/>
      <c r="AA47" s="134"/>
      <c r="AB47" s="134"/>
      <c r="AC47" s="134"/>
      <c r="AD47" s="134"/>
      <c r="AE47" s="134"/>
      <c r="AF47" s="134"/>
      <c r="AG47" s="134"/>
      <c r="AH47" s="134"/>
    </row>
    <row r="48" spans="1:35" ht="15.75" thickBot="1" x14ac:dyDescent="0.3">
      <c r="A48" s="207" t="s">
        <v>112</v>
      </c>
      <c r="B48" s="209" t="str">
        <f xml:space="preserve"> DEC2HEX(AH49+ AG49*2 + AF49*2^2 + AE49*2^3 + AD49*2^4 + AC49*2^5 + AB49*2^6 + AA49*2^7 + Z49*2^8 + Y49*2^9 + X49*2^10 + W49*2^11 + V49*2^12+ U49*2^13 + T49*2^14 + S49*2^15 + R49*2^16 + Q49*2^17 + P49*2^18 + O49*2^19 + N49*2^20 + M49*2^21 + L49*2^22 + K49*2^23 + J49*2^24 + I49*2^25 + H49*2^26 + G49*2^27 + F49*2^28 +  E49*2^29 +  D49*2^30 + C49*2^31,8)</f>
        <v>00000004</v>
      </c>
      <c r="C48" s="220" t="s">
        <v>26</v>
      </c>
      <c r="D48" s="221"/>
      <c r="E48" s="221"/>
      <c r="F48" s="221"/>
      <c r="G48" s="221"/>
      <c r="H48" s="221"/>
      <c r="I48" s="221"/>
      <c r="J48" s="221"/>
      <c r="K48" s="221"/>
      <c r="L48" s="221"/>
      <c r="M48" s="221"/>
      <c r="N48" s="221"/>
      <c r="O48" s="221"/>
      <c r="P48" s="221"/>
      <c r="Q48" s="221"/>
      <c r="R48" s="221"/>
      <c r="S48" s="221"/>
      <c r="T48" s="221"/>
      <c r="U48" s="222"/>
      <c r="V48" s="49" t="s">
        <v>54</v>
      </c>
      <c r="W48" s="214" t="s">
        <v>26</v>
      </c>
      <c r="X48" s="49" t="s">
        <v>81</v>
      </c>
      <c r="Y48" s="220" t="s">
        <v>26</v>
      </c>
      <c r="Z48" s="221"/>
      <c r="AA48" s="222"/>
      <c r="AB48" s="49" t="s">
        <v>66</v>
      </c>
      <c r="AC48" s="211" t="s">
        <v>7</v>
      </c>
      <c r="AD48" s="212"/>
      <c r="AE48" s="213"/>
      <c r="AF48" s="49" t="s">
        <v>67</v>
      </c>
      <c r="AG48" s="49" t="s">
        <v>82</v>
      </c>
      <c r="AH48" s="49" t="s">
        <v>58</v>
      </c>
    </row>
    <row r="49" spans="1:38" ht="15.75" thickBot="1" x14ac:dyDescent="0.3">
      <c r="A49" s="208"/>
      <c r="B49" s="210"/>
      <c r="C49" s="223"/>
      <c r="D49" s="224"/>
      <c r="E49" s="224"/>
      <c r="F49" s="224"/>
      <c r="G49" s="224"/>
      <c r="H49" s="224"/>
      <c r="I49" s="224"/>
      <c r="J49" s="224"/>
      <c r="K49" s="224"/>
      <c r="L49" s="224"/>
      <c r="M49" s="224"/>
      <c r="N49" s="224"/>
      <c r="O49" s="224"/>
      <c r="P49" s="224"/>
      <c r="Q49" s="224"/>
      <c r="R49" s="224"/>
      <c r="S49" s="224"/>
      <c r="T49" s="224"/>
      <c r="U49" s="225"/>
      <c r="V49" s="56">
        <v>0</v>
      </c>
      <c r="W49" s="215"/>
      <c r="X49" s="56">
        <v>0</v>
      </c>
      <c r="Y49" s="223"/>
      <c r="Z49" s="224"/>
      <c r="AA49" s="225"/>
      <c r="AB49" s="56">
        <f>MOD(INT(D21/2),2)</f>
        <v>0</v>
      </c>
      <c r="AC49" s="57">
        <f>MOD(INT(D25/4),2)</f>
        <v>0</v>
      </c>
      <c r="AD49" s="16">
        <f>MOD(INT(D25/2),2)</f>
        <v>0</v>
      </c>
      <c r="AE49" s="58">
        <f>MOD(D25,2)</f>
        <v>0</v>
      </c>
      <c r="AF49" s="56">
        <f>MOD(D21,2)</f>
        <v>1</v>
      </c>
      <c r="AG49" s="56">
        <f>MOD(D20,2)</f>
        <v>0</v>
      </c>
      <c r="AH49" s="56">
        <v>0</v>
      </c>
    </row>
    <row r="50" spans="1:38" ht="15.75" thickBot="1" x14ac:dyDescent="0.3">
      <c r="A50" s="32"/>
      <c r="B50" s="60"/>
      <c r="C50" s="134"/>
      <c r="D50" s="134"/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  <c r="Q50" s="134"/>
      <c r="R50" s="134"/>
      <c r="S50" s="134"/>
      <c r="T50" s="134"/>
      <c r="U50" s="134"/>
      <c r="V50" s="134"/>
      <c r="W50" s="134"/>
      <c r="X50" s="134"/>
      <c r="Y50" s="134"/>
      <c r="Z50" s="134"/>
      <c r="AA50" s="134"/>
      <c r="AB50" s="134"/>
      <c r="AC50" s="134"/>
      <c r="AD50" s="134"/>
      <c r="AE50" s="134"/>
      <c r="AF50" s="134"/>
      <c r="AG50" s="134"/>
      <c r="AH50" s="134"/>
    </row>
    <row r="51" spans="1:38" ht="15.75" thickBot="1" x14ac:dyDescent="0.3">
      <c r="A51" s="207" t="s">
        <v>111</v>
      </c>
      <c r="B51" s="209" t="str">
        <f xml:space="preserve"> DEC2HEX(AH52 + AG52*2 + AF52*2^2 + AE52*2^3 + AD52*2^4 + AC52*2^5 + AB52*2^6 + AA52*2^7 + Z52*2^8 + Y52*2^9 + X52*2^10 + W52*2^11 + V52*2^12+ U52*2^13 + T52*2^14 + S52*2^15 + R52*2^16 + Q52*2^17 + P52*2^18 + O52*2^19 + N52*2^20 + M52*2^21 + L52*2^22 + K52*2^23 + J52*2^24 + I52*2^25 + H52*2^26 + G52*2^27 + F52*2^28 +  E52*2^29 +  D52*2^30 + C52*2^31,8)</f>
        <v>00000000</v>
      </c>
      <c r="C51" s="216" t="s">
        <v>26</v>
      </c>
      <c r="D51" s="226"/>
      <c r="E51" s="226"/>
      <c r="F51" s="226"/>
      <c r="G51" s="226"/>
      <c r="H51" s="226"/>
      <c r="I51" s="226"/>
      <c r="J51" s="226"/>
      <c r="K51" s="226"/>
      <c r="L51" s="226"/>
      <c r="M51" s="226"/>
      <c r="N51" s="226"/>
      <c r="O51" s="226"/>
      <c r="P51" s="226"/>
      <c r="Q51" s="226"/>
      <c r="R51" s="226"/>
      <c r="S51" s="226"/>
      <c r="T51" s="226"/>
      <c r="U51" s="226"/>
      <c r="V51" s="226"/>
      <c r="W51" s="226"/>
      <c r="X51" s="226"/>
      <c r="Y51" s="226"/>
      <c r="Z51" s="217"/>
      <c r="AA51" s="1" t="s">
        <v>83</v>
      </c>
      <c r="AB51" s="216" t="s">
        <v>26</v>
      </c>
      <c r="AC51" s="226"/>
      <c r="AD51" s="226"/>
      <c r="AE51" s="217"/>
      <c r="AF51" s="235" t="s">
        <v>75</v>
      </c>
      <c r="AG51" s="236"/>
      <c r="AH51" s="237"/>
    </row>
    <row r="52" spans="1:38" ht="15.75" thickBot="1" x14ac:dyDescent="0.3">
      <c r="A52" s="208"/>
      <c r="B52" s="210"/>
      <c r="C52" s="218"/>
      <c r="D52" s="227"/>
      <c r="E52" s="227"/>
      <c r="F52" s="227"/>
      <c r="G52" s="227"/>
      <c r="H52" s="227"/>
      <c r="I52" s="227"/>
      <c r="J52" s="227"/>
      <c r="K52" s="227"/>
      <c r="L52" s="227"/>
      <c r="M52" s="227"/>
      <c r="N52" s="227"/>
      <c r="O52" s="227"/>
      <c r="P52" s="227"/>
      <c r="Q52" s="227"/>
      <c r="R52" s="227"/>
      <c r="S52" s="227"/>
      <c r="T52" s="227"/>
      <c r="U52" s="227"/>
      <c r="V52" s="227"/>
      <c r="W52" s="227"/>
      <c r="X52" s="227"/>
      <c r="Y52" s="227"/>
      <c r="Z52" s="219"/>
      <c r="AA52" s="20">
        <v>0</v>
      </c>
      <c r="AB52" s="218"/>
      <c r="AC52" s="227"/>
      <c r="AD52" s="227"/>
      <c r="AE52" s="219"/>
      <c r="AF52" s="21">
        <v>0</v>
      </c>
      <c r="AG52" s="23">
        <v>0</v>
      </c>
      <c r="AH52" s="22">
        <v>0</v>
      </c>
      <c r="AI52" s="129"/>
      <c r="AJ52" s="129"/>
      <c r="AK52" s="129"/>
      <c r="AL52" s="129"/>
    </row>
    <row r="53" spans="1:38" ht="15.75" thickBot="1" x14ac:dyDescent="0.3">
      <c r="B53" s="135"/>
      <c r="C53" s="136"/>
      <c r="D53" s="136"/>
      <c r="E53" s="136"/>
      <c r="F53" s="136"/>
      <c r="G53" s="136"/>
      <c r="H53" s="136"/>
      <c r="I53" s="136"/>
      <c r="J53" s="136"/>
      <c r="K53" s="136"/>
      <c r="L53" s="136"/>
      <c r="M53" s="136"/>
      <c r="N53" s="136"/>
      <c r="O53" s="136"/>
      <c r="P53" s="136"/>
      <c r="Q53" s="136"/>
      <c r="R53" s="136"/>
      <c r="S53" s="136"/>
      <c r="T53" s="136"/>
      <c r="U53" s="136"/>
      <c r="V53" s="136"/>
      <c r="W53" s="136"/>
      <c r="X53" s="136"/>
      <c r="Y53" s="136"/>
      <c r="Z53" s="136"/>
      <c r="AA53" s="136"/>
      <c r="AB53" s="136"/>
      <c r="AC53" s="136"/>
      <c r="AD53" s="136"/>
      <c r="AE53" s="136"/>
      <c r="AF53" s="136"/>
      <c r="AG53" s="136"/>
      <c r="AH53" s="136"/>
    </row>
    <row r="54" spans="1:38" ht="15.75" thickBot="1" x14ac:dyDescent="0.3">
      <c r="A54" s="228" t="s">
        <v>61</v>
      </c>
      <c r="B54" s="230" t="str">
        <f xml:space="preserve"> DEC2HEX(AH55 + AG55*2 + AF55*2^2 + AE55*2^3 + AD55*2^4 + AC55*2^5 + AB55*2^6 + AA55*2^7 + Z55*2^8 + Y55*2^9 + X55*2^10 + W55*2^11 + V55*2^12+ U55*2^13 + T55*2^14 + S55*2^15 + R55*2^16 + Q55*2^17 + P55*2^18 + O55*2^19 + N55*2^20 + M55*2^21 + L55*2^22 + K55*2^23 + J55*2^24 + I55*2^25 + H55*2^26 + G55*2^27 + F55*2^28 +  E55*2^29 +  D55*2^30 + C55*2^31,8)</f>
        <v>0078283C</v>
      </c>
      <c r="C54" s="216" t="s">
        <v>26</v>
      </c>
      <c r="D54" s="226"/>
      <c r="E54" s="226"/>
      <c r="F54" s="226"/>
      <c r="G54" s="226"/>
      <c r="H54" s="226"/>
      <c r="I54" s="226"/>
      <c r="J54" s="217"/>
      <c r="K54" s="212" t="s">
        <v>62</v>
      </c>
      <c r="L54" s="212"/>
      <c r="M54" s="212"/>
      <c r="N54" s="212"/>
      <c r="O54" s="212"/>
      <c r="P54" s="212"/>
      <c r="Q54" s="212"/>
      <c r="R54" s="213"/>
      <c r="S54" s="232" t="s">
        <v>63</v>
      </c>
      <c r="T54" s="233"/>
      <c r="U54" s="233"/>
      <c r="V54" s="233"/>
      <c r="W54" s="233"/>
      <c r="X54" s="233"/>
      <c r="Y54" s="233"/>
      <c r="Z54" s="234"/>
      <c r="AA54" s="232" t="s">
        <v>64</v>
      </c>
      <c r="AB54" s="233"/>
      <c r="AC54" s="233"/>
      <c r="AD54" s="233"/>
      <c r="AE54" s="233"/>
      <c r="AF54" s="233"/>
      <c r="AG54" s="233"/>
      <c r="AH54" s="234"/>
    </row>
    <row r="55" spans="1:38" ht="15.75" thickBot="1" x14ac:dyDescent="0.3">
      <c r="A55" s="229"/>
      <c r="B55" s="231"/>
      <c r="C55" s="218"/>
      <c r="D55" s="227"/>
      <c r="E55" s="227"/>
      <c r="F55" s="227"/>
      <c r="G55" s="227"/>
      <c r="H55" s="227"/>
      <c r="I55" s="227"/>
      <c r="J55" s="219"/>
      <c r="K55" s="158">
        <f>MOD(INT(D24/128),2)</f>
        <v>0</v>
      </c>
      <c r="L55" s="5">
        <f>MOD(INT(D24/64),2)</f>
        <v>1</v>
      </c>
      <c r="M55" s="5">
        <f>MOD(INT(D24/32),2)</f>
        <v>1</v>
      </c>
      <c r="N55" s="5">
        <f>MOD(INT(D24/16),2)</f>
        <v>1</v>
      </c>
      <c r="O55" s="5">
        <f>MOD(INT(D24/8),2)</f>
        <v>1</v>
      </c>
      <c r="P55" s="5">
        <f>MOD(INT(D24/4),2)</f>
        <v>0</v>
      </c>
      <c r="Q55" s="5">
        <f>MOD(INT(D24/2),2)</f>
        <v>0</v>
      </c>
      <c r="R55" s="6">
        <f>MOD(D24,2)</f>
        <v>0</v>
      </c>
      <c r="S55" s="7">
        <f>MOD(INT(D23/128),2)</f>
        <v>0</v>
      </c>
      <c r="T55" s="5">
        <f>MOD(INT(D23/64),2)</f>
        <v>0</v>
      </c>
      <c r="U55" s="5">
        <f>MOD(INT(D23/32),2)</f>
        <v>1</v>
      </c>
      <c r="V55" s="5">
        <f>MOD(INT(D23/16),2)</f>
        <v>0</v>
      </c>
      <c r="W55" s="5">
        <f>MOD(INT(D23/8),2)</f>
        <v>1</v>
      </c>
      <c r="X55" s="5">
        <f>MOD(INT(D23/4),2)</f>
        <v>0</v>
      </c>
      <c r="Y55" s="5">
        <f>MOD(INT(D23/2),2)</f>
        <v>0</v>
      </c>
      <c r="Z55" s="6">
        <f>MOD(D23,2)</f>
        <v>0</v>
      </c>
      <c r="AA55" s="7">
        <f>MOD(INT(D22/128),2)</f>
        <v>0</v>
      </c>
      <c r="AB55" s="5">
        <f>MOD(INT(D22/64),2)</f>
        <v>0</v>
      </c>
      <c r="AC55" s="5">
        <f>MOD(INT(D22/32),2)</f>
        <v>1</v>
      </c>
      <c r="AD55" s="5">
        <f>MOD(INT(D22/16),2)</f>
        <v>1</v>
      </c>
      <c r="AE55" s="5">
        <f>MOD(INT(D22/8),2)</f>
        <v>1</v>
      </c>
      <c r="AF55" s="5">
        <f>MOD(INT(D22/4),2)</f>
        <v>1</v>
      </c>
      <c r="AG55" s="5">
        <f>MOD(INT(D22/2),2)</f>
        <v>0</v>
      </c>
      <c r="AH55" s="6">
        <f>MOD(D22,2)</f>
        <v>0</v>
      </c>
    </row>
    <row r="56" spans="1:38" ht="15.75" thickBot="1" x14ac:dyDescent="0.3">
      <c r="A56" s="156"/>
      <c r="B56" s="157"/>
      <c r="C56" s="160"/>
      <c r="D56" s="160"/>
      <c r="E56" s="160"/>
      <c r="F56" s="160"/>
      <c r="G56" s="160"/>
      <c r="H56" s="160"/>
      <c r="I56" s="160"/>
      <c r="J56" s="160"/>
      <c r="K56" s="155"/>
      <c r="L56" s="155"/>
      <c r="M56" s="155"/>
      <c r="N56" s="155"/>
      <c r="O56" s="155"/>
      <c r="P56" s="155"/>
      <c r="Q56" s="155"/>
      <c r="R56" s="155"/>
      <c r="S56" s="155"/>
      <c r="T56" s="155"/>
      <c r="U56" s="155"/>
      <c r="V56" s="155"/>
      <c r="W56" s="155"/>
      <c r="X56" s="155"/>
      <c r="Y56" s="155"/>
      <c r="Z56" s="155"/>
      <c r="AA56" s="155"/>
      <c r="AB56" s="155"/>
      <c r="AC56" s="155"/>
      <c r="AD56" s="155"/>
      <c r="AE56" s="155"/>
      <c r="AF56" s="155"/>
      <c r="AG56" s="155"/>
      <c r="AH56" s="155"/>
    </row>
    <row r="57" spans="1:38" s="112" customFormat="1" x14ac:dyDescent="0.25">
      <c r="A57" s="177" t="s">
        <v>135</v>
      </c>
      <c r="B57" s="175" t="str">
        <f xml:space="preserve"> DEC2HEX(AH58 + AG58*2 + AF58*2^2 + AE58*2^3 + AD58*2^4 + AC58*2^5 + AB58*2^6 + AA58*2^7 + Z58*2^8 + Y58*2^9 + X58*2^10 + W58*2^11 + V58*2^12+ U58*2^13 + T58*2^14 + S58*2^15 + R58*2^16 + Q58*2^17 + P58*2^18 + O58*2^19 + N58*2^20 + M58*2^21 + L58*2^22 + K58*2^23 + J58*2^24 + I58*2^25 + H58*2^26 + G58*2^27 + F58*2^28 +  E58*2^29 +  D58*2^30 + C58*2^31,8)</f>
        <v>00000000</v>
      </c>
      <c r="C57" s="179" t="s">
        <v>26</v>
      </c>
      <c r="D57" s="180"/>
      <c r="E57" s="180"/>
      <c r="F57" s="180"/>
      <c r="G57" s="180"/>
      <c r="H57" s="180"/>
      <c r="I57" s="180"/>
      <c r="J57" s="180"/>
      <c r="K57" s="180"/>
      <c r="L57" s="180"/>
      <c r="M57" s="180"/>
      <c r="N57" s="180"/>
      <c r="O57" s="180"/>
      <c r="P57" s="180"/>
      <c r="Q57" s="180"/>
      <c r="R57" s="180"/>
      <c r="S57" s="180"/>
      <c r="T57" s="180"/>
      <c r="U57" s="180"/>
      <c r="V57" s="180"/>
      <c r="W57" s="180"/>
      <c r="X57" s="180"/>
      <c r="Y57" s="180"/>
      <c r="Z57" s="180"/>
      <c r="AA57" s="180"/>
      <c r="AB57" s="180"/>
      <c r="AC57" s="180"/>
      <c r="AD57" s="180"/>
      <c r="AE57" s="180"/>
      <c r="AF57" s="180"/>
      <c r="AG57" s="180"/>
      <c r="AH57" s="181"/>
    </row>
    <row r="58" spans="1:38" s="112" customFormat="1" ht="15.75" thickBot="1" x14ac:dyDescent="0.3">
      <c r="A58" s="178"/>
      <c r="B58" s="176"/>
      <c r="C58" s="182"/>
      <c r="D58" s="183"/>
      <c r="E58" s="183"/>
      <c r="F58" s="183"/>
      <c r="G58" s="183"/>
      <c r="H58" s="183"/>
      <c r="I58" s="183"/>
      <c r="J58" s="183"/>
      <c r="K58" s="183"/>
      <c r="L58" s="183"/>
      <c r="M58" s="183"/>
      <c r="N58" s="183"/>
      <c r="O58" s="183"/>
      <c r="P58" s="183"/>
      <c r="Q58" s="183"/>
      <c r="R58" s="183"/>
      <c r="S58" s="183"/>
      <c r="T58" s="183"/>
      <c r="U58" s="183"/>
      <c r="V58" s="183"/>
      <c r="W58" s="183"/>
      <c r="X58" s="183"/>
      <c r="Y58" s="183"/>
      <c r="Z58" s="183"/>
      <c r="AA58" s="183"/>
      <c r="AB58" s="183"/>
      <c r="AC58" s="183"/>
      <c r="AD58" s="183"/>
      <c r="AE58" s="183"/>
      <c r="AF58" s="183"/>
      <c r="AG58" s="183"/>
      <c r="AH58" s="184"/>
    </row>
    <row r="59" spans="1:38" ht="15.75" thickBot="1" x14ac:dyDescent="0.3"/>
    <row r="60" spans="1:38" ht="15.75" thickBot="1" x14ac:dyDescent="0.3">
      <c r="A60" s="207" t="s">
        <v>86</v>
      </c>
      <c r="B60" s="209" t="str">
        <f xml:space="preserve"> DEC2HEX(AH61 + AG61*2 + AF61*2^2 + AE61*2^3 + AD61*2^4 + AC61*2^5 + AB61*2^6 + AA61*2^7 + Z61*2^8 + Y61*2^9 + X61*2^10 + W61*2^11 + V61*2^12+ U61*2^13 + T61*2^14 + S61*2^15 + R61*2^16 + Q61*2^17 + P61*2^18 + O61*2^19 + N61*2^20 + M61*2^21 + L61*2^22 + K61*2^23 + J61*2^24 + I61*2^25 + H61*2^26 + G61*2^27 + F61*2^28 +  E61*2^29 +  D61*2^30 + C61*2^31,8)</f>
        <v>80000000</v>
      </c>
      <c r="C60" s="211" t="s">
        <v>86</v>
      </c>
      <c r="D60" s="212"/>
      <c r="E60" s="212"/>
      <c r="F60" s="212"/>
      <c r="G60" s="212"/>
      <c r="H60" s="212"/>
      <c r="I60" s="212"/>
      <c r="J60" s="212"/>
      <c r="K60" s="212"/>
      <c r="L60" s="212"/>
      <c r="M60" s="212"/>
      <c r="N60" s="212"/>
      <c r="O60" s="212"/>
      <c r="P60" s="212"/>
      <c r="Q60" s="212"/>
      <c r="R60" s="212"/>
      <c r="S60" s="212"/>
      <c r="T60" s="212"/>
      <c r="U60" s="212"/>
      <c r="V60" s="212"/>
      <c r="W60" s="212"/>
      <c r="X60" s="212"/>
      <c r="Y60" s="212"/>
      <c r="Z60" s="212"/>
      <c r="AA60" s="212"/>
      <c r="AB60" s="212"/>
      <c r="AC60" s="212"/>
      <c r="AD60" s="212"/>
      <c r="AE60" s="212"/>
      <c r="AF60" s="212"/>
      <c r="AG60" s="212"/>
      <c r="AH60" s="213"/>
    </row>
    <row r="61" spans="1:38" ht="15.75" thickBot="1" x14ac:dyDescent="0.3">
      <c r="A61" s="208"/>
      <c r="B61" s="210"/>
      <c r="C61" s="24">
        <f>MOD(INT(D26/2^31),2)</f>
        <v>1</v>
      </c>
      <c r="D61" s="25">
        <f>MOD(INT(D26/2^30),2)</f>
        <v>0</v>
      </c>
      <c r="E61" s="25">
        <f>MOD(INT(D26/2^29),2)</f>
        <v>0</v>
      </c>
      <c r="F61" s="25">
        <f>MOD(INT(D26/2^28),2)</f>
        <v>0</v>
      </c>
      <c r="G61" s="25">
        <f>MOD(INT(D26/2^27),2)</f>
        <v>0</v>
      </c>
      <c r="H61" s="25">
        <f>MOD(INT(D26/2^26),2)</f>
        <v>0</v>
      </c>
      <c r="I61" s="25">
        <f>MOD(INT(D26/2^25),2)</f>
        <v>0</v>
      </c>
      <c r="J61" s="25">
        <f>MOD(INT(D26/2^24),2)</f>
        <v>0</v>
      </c>
      <c r="K61" s="25">
        <f>MOD(INT(D26/2^23),2)</f>
        <v>0</v>
      </c>
      <c r="L61" s="25">
        <f>MOD(INT(D26/2^22),2)</f>
        <v>0</v>
      </c>
      <c r="M61" s="25">
        <f>MOD(INT(D26/2^21),2)</f>
        <v>0</v>
      </c>
      <c r="N61" s="25">
        <f>MOD(INT(D26/2^20),2)</f>
        <v>0</v>
      </c>
      <c r="O61" s="25">
        <f>MOD(INT(D26/2^19),2)</f>
        <v>0</v>
      </c>
      <c r="P61" s="25">
        <f>MOD(INT(D26/2^18),2)</f>
        <v>0</v>
      </c>
      <c r="Q61" s="25">
        <f>MOD(INT(D26/2^17),2)</f>
        <v>0</v>
      </c>
      <c r="R61" s="25">
        <f>MOD(INT(D26/2^16),2)</f>
        <v>0</v>
      </c>
      <c r="S61" s="25">
        <f>MOD(INT(D26/2^15),2)</f>
        <v>0</v>
      </c>
      <c r="T61" s="25">
        <f>MOD(INT(D26/2^14),2)</f>
        <v>0</v>
      </c>
      <c r="U61" s="25">
        <f>MOD(INT(D26/2^13),2)</f>
        <v>0</v>
      </c>
      <c r="V61" s="25">
        <f>MOD(INT(D26/2^12),2)</f>
        <v>0</v>
      </c>
      <c r="W61" s="25">
        <f>MOD(INT(D26/2^11),2)</f>
        <v>0</v>
      </c>
      <c r="X61" s="25">
        <f>MOD(INT(D26/2^10),2)</f>
        <v>0</v>
      </c>
      <c r="Y61" s="25">
        <f>MOD(INT(D26/2^9),2)</f>
        <v>0</v>
      </c>
      <c r="Z61" s="25">
        <f>MOD(INT(D26/2^8),2)</f>
        <v>0</v>
      </c>
      <c r="AA61" s="25">
        <f>MOD(INT(D26/2^7),2)</f>
        <v>0</v>
      </c>
      <c r="AB61" s="25">
        <f>MOD(INT(D26/2^6),2)</f>
        <v>0</v>
      </c>
      <c r="AC61" s="25">
        <f>MOD(INT(D26/2^5),2)</f>
        <v>0</v>
      </c>
      <c r="AD61" s="25">
        <f>MOD(INT(D26/2^4),2)</f>
        <v>0</v>
      </c>
      <c r="AE61" s="25">
        <f>MOD(INT(D26/2^3),2)</f>
        <v>0</v>
      </c>
      <c r="AF61" s="25">
        <f>MOD(INT(D26/2^2),2)</f>
        <v>0</v>
      </c>
      <c r="AG61" s="25">
        <f>MOD(INT(D26/2),2)</f>
        <v>0</v>
      </c>
      <c r="AH61" s="26">
        <f>MOD(D26,2)</f>
        <v>0</v>
      </c>
    </row>
    <row r="63" spans="1:38" x14ac:dyDescent="0.25">
      <c r="AI63" s="137"/>
      <c r="AJ63" s="138"/>
    </row>
    <row r="68" spans="7:7" x14ac:dyDescent="0.25">
      <c r="G68" s="159"/>
    </row>
  </sheetData>
  <dataConsolidate/>
  <mergeCells count="70">
    <mergeCell ref="A57:A58"/>
    <mergeCell ref="B57:B58"/>
    <mergeCell ref="C57:AH58"/>
    <mergeCell ref="A30:A31"/>
    <mergeCell ref="B30:B31"/>
    <mergeCell ref="C30:H31"/>
    <mergeCell ref="K30:T31"/>
    <mergeCell ref="W30:Y30"/>
    <mergeCell ref="AA33:AD33"/>
    <mergeCell ref="AE33:AH33"/>
    <mergeCell ref="A36:A37"/>
    <mergeCell ref="B36:B37"/>
    <mergeCell ref="C36:F36"/>
    <mergeCell ref="G36:H37"/>
    <mergeCell ref="I36:N36"/>
    <mergeCell ref="O36:Q37"/>
    <mergeCell ref="A33:A34"/>
    <mergeCell ref="B33:B34"/>
    <mergeCell ref="C33:R34"/>
    <mergeCell ref="S33:V33"/>
    <mergeCell ref="W33:Z33"/>
    <mergeCell ref="AA36:AD36"/>
    <mergeCell ref="AE36:AH36"/>
    <mergeCell ref="A39:A40"/>
    <mergeCell ref="B39:B40"/>
    <mergeCell ref="C39:C40"/>
    <mergeCell ref="D39:F39"/>
    <mergeCell ref="G39:J40"/>
    <mergeCell ref="K39:R39"/>
    <mergeCell ref="S39:T40"/>
    <mergeCell ref="U39:AH39"/>
    <mergeCell ref="R36:V36"/>
    <mergeCell ref="W36:Z36"/>
    <mergeCell ref="W42:Z42"/>
    <mergeCell ref="AA42:AC43"/>
    <mergeCell ref="AD42:AH42"/>
    <mergeCell ref="A42:A43"/>
    <mergeCell ref="B42:B43"/>
    <mergeCell ref="C42:J43"/>
    <mergeCell ref="K42:N42"/>
    <mergeCell ref="O42:R42"/>
    <mergeCell ref="S42:V42"/>
    <mergeCell ref="A51:A52"/>
    <mergeCell ref="B51:B52"/>
    <mergeCell ref="AG45:AH45"/>
    <mergeCell ref="A48:A49"/>
    <mergeCell ref="B48:B49"/>
    <mergeCell ref="C48:U49"/>
    <mergeCell ref="A45:A46"/>
    <mergeCell ref="B45:B46"/>
    <mergeCell ref="C45:U46"/>
    <mergeCell ref="W45:Y45"/>
    <mergeCell ref="AA45:AA46"/>
    <mergeCell ref="AB45:AD45"/>
    <mergeCell ref="A60:A61"/>
    <mergeCell ref="B60:B61"/>
    <mergeCell ref="C60:AH60"/>
    <mergeCell ref="W48:W49"/>
    <mergeCell ref="AE45:AF46"/>
    <mergeCell ref="Y48:AA49"/>
    <mergeCell ref="AC48:AE48"/>
    <mergeCell ref="AB51:AE52"/>
    <mergeCell ref="A54:A55"/>
    <mergeCell ref="B54:B55"/>
    <mergeCell ref="C54:J55"/>
    <mergeCell ref="K54:R54"/>
    <mergeCell ref="S54:Z54"/>
    <mergeCell ref="AA54:AH54"/>
    <mergeCell ref="AF51:AH51"/>
    <mergeCell ref="C51:Z52"/>
  </mergeCells>
  <dataValidations xWindow="470" yWindow="255" count="28">
    <dataValidation allowBlank="1" showInputMessage="1" showErrorMessage="1" prompt="Enter a 16 byte aligned address ADD in such a way that the bytes from address ADD to ADD+15 can be overwritten by the controller during PHY DLL calibration. Default value used by the controller is 0x80000000 for DMC0 and 0xC0000000 for DMC1" sqref="D26"/>
    <dataValidation type="list" allowBlank="1" showInputMessage="1" showErrorMessage="1" sqref="C4:C9 C11:C17">
      <formula1>$G$3:$G$4</formula1>
    </dataValidation>
    <dataValidation type="list" allowBlank="1" showInputMessage="1" showErrorMessage="1" prompt="Enter burst length required" sqref="B19">
      <formula1>$H$12:$H$13</formula1>
    </dataValidation>
    <dataValidation type="list" allowBlank="1" showInputMessage="1" showErrorMessage="1" prompt="Enter CAS latency (CL) value from the DDR2 device data sheet" sqref="B18">
      <formula1>$I$12:$I$15</formula1>
    </dataValidation>
    <dataValidation type="list" allowBlank="1" showInputMessage="1" showErrorMessage="1" prompt="Enter the DDR memory size in Mega Bytes" sqref="B3">
      <formula1>$J$4:$J$7</formula1>
    </dataValidation>
    <dataValidation type="list" allowBlank="1" showInputMessage="1" showErrorMessage="1" prompt="Select On Die Termination (ODT) value for the DQ, DQS, and DM pads from memory side." sqref="B21">
      <formula1>$I$21:$I$24</formula1>
    </dataValidation>
    <dataValidation type="list" allowBlank="1" showInputMessage="1" showErrorMessage="1" prompt="Enter additive latency value as per the DDR2 memory device data sheet. Note that this option only affects efficiency and functionally &quot;AL =0&quot; should work. A typical application can choose AL=tRCD(min)-1." sqref="B25">
      <formula1>$J$21:$J$26</formula1>
    </dataValidation>
    <dataValidation type="list" allowBlank="1" showInputMessage="1" showErrorMessage="1" prompt="Select the output drive strength from memory end" sqref="B20">
      <formula1>$H$21:$H$22</formula1>
    </dataValidation>
    <dataValidation type="decimal" allowBlank="1" showInputMessage="1" showErrorMessage="1" error="The DCLK value should be between 125 MHz to 400 MHz" prompt="Enter DCLK value in MHz (between 125-400 MHz)" sqref="B2">
      <formula1>125</formula1>
      <formula2>400</formula2>
    </dataValidation>
    <dataValidation allowBlank="1" showInputMessage="1" showErrorMessage="1" prompt="Enter tRCD(min) from the DDR2 device data sheet" sqref="B4"/>
    <dataValidation allowBlank="1" showInputMessage="1" showErrorMessage="1" prompt="Enter tWTR(min) from the DDR2 device data sheet" sqref="B5"/>
    <dataValidation allowBlank="1" showInputMessage="1" showErrorMessage="1" prompt="Enter tRP(min) from the DDR2 device data sheet" sqref="B6"/>
    <dataValidation allowBlank="1" showInputMessage="1" showErrorMessage="1" prompt="Enter tRAS(min) from the DDR2 device data sheet" sqref="B7"/>
    <dataValidation allowBlank="1" showInputMessage="1" showErrorMessage="1" prompt="Enter tRC(min) from the DDR2 device data sheet" sqref="B8"/>
    <dataValidation allowBlank="1" showInputMessage="1" showErrorMessage="1" prompt="Enter tMRD(min) from the DDR2 device data sheet" sqref="B9"/>
    <dataValidation allowBlank="1" showInputMessage="1" showErrorMessage="1" prompt="Enter tREF(min) from the DDR2 device data sheet" sqref="B10"/>
    <dataValidation allowBlank="1" showInputMessage="1" showErrorMessage="1" prompt="Enter tRFC(min) from the DDR2 device data sheet" sqref="B11"/>
    <dataValidation allowBlank="1" showInputMessage="1" showErrorMessage="1" prompt="Enter tRRD(min) from the DDR2 device data sheet" sqref="B12"/>
    <dataValidation allowBlank="1" showInputMessage="1" showErrorMessage="1" prompt="Enter tFAW(min) from the DDR2 device data sheet" sqref="B13"/>
    <dataValidation allowBlank="1" showInputMessage="1" showErrorMessage="1" prompt="Enter tRTP(min) from the DDR2 device data sheet" sqref="B14"/>
    <dataValidation allowBlank="1" showInputMessage="1" showErrorMessage="1" prompt="Enter tWR(min) from the DDR2 device data sheet" sqref="B15"/>
    <dataValidation allowBlank="1" showInputMessage="1" showErrorMessage="1" prompt="Enter tXP(min) from the DDR2 device data sheet" sqref="B16"/>
    <dataValidation allowBlank="1" showInputMessage="1" showErrorMessage="1" prompt="Enter tCKE(min) from the DDR2 device data sheet" sqref="B17"/>
    <dataValidation type="decimal" operator="equal" allowBlank="1" showInputMessage="1" showErrorMessage="1" error="The recommended value is 60 ohms" prompt="Enter the Driver Impedance value for the address  (DMC_A[nn],  DMC_BA[n])  and command  (DMC_CKE,  DMC_CS[n],  DMC_ODT,  DMC_RAS,  DMC_RESET,  DMC_WE)  pads._x000a__x000a_The recommended value is 60 ohms" sqref="B22">
      <formula1>60</formula1>
    </dataValidation>
    <dataValidation type="decimal" operator="equal" allowBlank="1" showInputMessage="1" showErrorMessage="1" error="The recommended value is 40 ohms" prompt="Enter the Driver Impedance value for data  (DMC_DQ[nn]),  DQS  (DMC_LDQS, /DMC_LDQS,  DMC_UDQS,  /DMC_UDQS),  clock  (DMC_CK,  DMC_CK),  and  DM (DMC_UDM, DMC_LDM) pads._x000a__x000a_The recommended value is 40 ohms." sqref="B23">
      <formula1>40</formula1>
    </dataValidation>
    <dataValidation allowBlank="1" showInputMessage="1" showErrorMessage="1" prompt="Enter the On Die Termination value in Ohms for the DQ and DQS pads from the processor end" sqref="B24"/>
    <dataValidation allowBlank="1" showInputMessage="1" showErrorMessage="1" prompt="Enter a 16 byte aligned unused DMC address here. Note that 16 bytes from(and including) this address shall be overwritten by the controller during initialization.  " sqref="B26"/>
    <dataValidation type="list" allowBlank="1" showInputMessage="1" showErrorMessage="1" sqref="C10">
      <formula1>$G$13:$G$14</formula1>
    </dataValidation>
  </dataValidations>
  <pageMargins left="0.7" right="0.7" top="0.75" bottom="0.75" header="0.3" footer="0.3"/>
  <pageSetup orientation="portrait" r:id="rId1"/>
  <ignoredErrors>
    <ignoredError sqref="D24" formula="1"/>
    <ignoredError sqref="D26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4"/>
  <sheetViews>
    <sheetView zoomScale="85" zoomScaleNormal="85" workbookViewId="0">
      <selection activeCell="N13" sqref="N13"/>
    </sheetView>
  </sheetViews>
  <sheetFormatPr defaultRowHeight="15" x14ac:dyDescent="0.25"/>
  <cols>
    <col min="1" max="1" width="42.7109375" style="130" customWidth="1"/>
    <col min="2" max="34" width="15.7109375" style="130" customWidth="1"/>
    <col min="35" max="16384" width="9.140625" style="130"/>
  </cols>
  <sheetData>
    <row r="1" spans="1:17" ht="15" customHeight="1" x14ac:dyDescent="0.25">
      <c r="A1" s="27" t="s">
        <v>0</v>
      </c>
      <c r="B1" s="27" t="s">
        <v>1</v>
      </c>
      <c r="C1" s="27" t="s">
        <v>2</v>
      </c>
      <c r="D1" s="34"/>
      <c r="E1" s="35" t="s">
        <v>2</v>
      </c>
      <c r="F1" s="38"/>
      <c r="G1" s="38"/>
      <c r="H1" s="38"/>
      <c r="I1" s="38"/>
      <c r="J1" s="38"/>
      <c r="K1" s="50"/>
      <c r="L1" s="50"/>
      <c r="M1" s="129"/>
      <c r="N1" s="129"/>
      <c r="O1" s="129"/>
      <c r="P1" s="129"/>
    </row>
    <row r="2" spans="1:17" ht="15" customHeight="1" x14ac:dyDescent="0.25">
      <c r="A2" s="64" t="s">
        <v>115</v>
      </c>
      <c r="B2" s="66">
        <v>200</v>
      </c>
      <c r="C2" s="127" t="s">
        <v>3</v>
      </c>
      <c r="D2" s="36">
        <f>(1/B2)*1000</f>
        <v>5</v>
      </c>
      <c r="E2" s="37" t="s">
        <v>4</v>
      </c>
      <c r="F2" s="38"/>
      <c r="G2" s="38"/>
      <c r="H2" s="38"/>
      <c r="I2" s="38"/>
      <c r="J2" s="38"/>
      <c r="K2" s="50"/>
      <c r="L2" s="50"/>
      <c r="M2" s="129"/>
      <c r="N2" s="129"/>
      <c r="O2" s="129"/>
      <c r="P2" s="129"/>
    </row>
    <row r="3" spans="1:17" ht="15" customHeight="1" x14ac:dyDescent="0.25">
      <c r="A3" s="64" t="s">
        <v>68</v>
      </c>
      <c r="B3" s="66">
        <v>2048</v>
      </c>
      <c r="C3" s="65" t="s">
        <v>77</v>
      </c>
      <c r="D3" s="36">
        <f>LOG((B3*1024*1024/(64*1024*1024)),2)</f>
        <v>5</v>
      </c>
      <c r="E3" s="40"/>
      <c r="F3" s="38"/>
      <c r="G3" s="38"/>
      <c r="H3" s="38"/>
      <c r="I3" s="39"/>
      <c r="J3" s="39"/>
      <c r="K3" s="51"/>
      <c r="L3" s="50"/>
      <c r="M3" s="125"/>
      <c r="N3" s="125"/>
      <c r="O3" s="125"/>
      <c r="P3" s="125"/>
      <c r="Q3" s="28"/>
    </row>
    <row r="4" spans="1:17" ht="15" customHeight="1" x14ac:dyDescent="0.25">
      <c r="A4" s="64" t="s">
        <v>16</v>
      </c>
      <c r="B4" s="66">
        <v>14.4</v>
      </c>
      <c r="C4" s="65" t="s">
        <v>4</v>
      </c>
      <c r="D4" s="36">
        <f>IF(C4=H5,CEILING((B4/D2),1),B4)</f>
        <v>3</v>
      </c>
      <c r="E4" s="40" t="s">
        <v>6</v>
      </c>
      <c r="F4" s="38"/>
      <c r="G4" s="38"/>
      <c r="H4" s="38"/>
      <c r="I4" s="41"/>
      <c r="J4" s="41"/>
      <c r="K4" s="51"/>
      <c r="L4" s="50"/>
      <c r="M4" s="125"/>
      <c r="N4" s="125"/>
      <c r="O4" s="125"/>
      <c r="P4" s="125"/>
      <c r="Q4" s="28"/>
    </row>
    <row r="5" spans="1:17" ht="15" customHeight="1" x14ac:dyDescent="0.25">
      <c r="A5" s="64" t="s">
        <v>17</v>
      </c>
      <c r="B5" s="66">
        <v>10</v>
      </c>
      <c r="C5" s="65" t="s">
        <v>4</v>
      </c>
      <c r="D5" s="36">
        <f>IF(C5=H5,CEILING((B5/D2),1),B5)</f>
        <v>2</v>
      </c>
      <c r="E5" s="40" t="s">
        <v>6</v>
      </c>
      <c r="F5" s="68"/>
      <c r="G5" s="38"/>
      <c r="H5" s="41" t="s">
        <v>4</v>
      </c>
      <c r="I5" s="41" t="s">
        <v>4</v>
      </c>
      <c r="J5" s="41"/>
      <c r="K5" s="51"/>
      <c r="L5" s="51"/>
      <c r="M5" s="129"/>
      <c r="N5" s="125"/>
      <c r="O5" s="125"/>
      <c r="P5" s="125"/>
      <c r="Q5" s="28"/>
    </row>
    <row r="6" spans="1:17" ht="15" customHeight="1" x14ac:dyDescent="0.25">
      <c r="A6" s="64" t="s">
        <v>18</v>
      </c>
      <c r="B6" s="66">
        <v>14.4</v>
      </c>
      <c r="C6" s="65" t="s">
        <v>4</v>
      </c>
      <c r="D6" s="36">
        <f>IF(C6=H5,CEILING((B6/D2),1),B6)</f>
        <v>3</v>
      </c>
      <c r="E6" s="40" t="s">
        <v>6</v>
      </c>
      <c r="F6" s="68"/>
      <c r="G6" s="38"/>
      <c r="H6" s="41" t="s">
        <v>78</v>
      </c>
      <c r="I6" s="41" t="s">
        <v>6</v>
      </c>
      <c r="J6" s="41"/>
      <c r="K6" s="51"/>
      <c r="L6" s="51"/>
      <c r="M6" s="129"/>
      <c r="N6" s="125"/>
      <c r="O6" s="125"/>
      <c r="P6" s="125"/>
    </row>
    <row r="7" spans="1:17" ht="15" customHeight="1" x14ac:dyDescent="0.25">
      <c r="A7" s="64" t="s">
        <v>19</v>
      </c>
      <c r="B7" s="66">
        <v>38.4</v>
      </c>
      <c r="C7" s="65" t="s">
        <v>4</v>
      </c>
      <c r="D7" s="36">
        <f>IF(C7=H5,CEILING((B7/D2),1),B7)</f>
        <v>8</v>
      </c>
      <c r="E7" s="40" t="s">
        <v>6</v>
      </c>
      <c r="F7" s="68"/>
      <c r="G7" s="38"/>
      <c r="H7" s="38"/>
      <c r="I7" s="41"/>
      <c r="J7" s="41"/>
      <c r="K7" s="51"/>
      <c r="L7" s="51"/>
      <c r="M7" s="129"/>
      <c r="N7" s="129"/>
      <c r="O7" s="125"/>
      <c r="P7" s="125"/>
    </row>
    <row r="8" spans="1:17" ht="15" customHeight="1" x14ac:dyDescent="0.25">
      <c r="A8" s="64" t="s">
        <v>20</v>
      </c>
      <c r="B8" s="66">
        <v>52.8</v>
      </c>
      <c r="C8" s="65" t="s">
        <v>4</v>
      </c>
      <c r="D8" s="36">
        <f>IF(C8=H5,CEILING((B8/D2),1),B8)</f>
        <v>11</v>
      </c>
      <c r="E8" s="40" t="s">
        <v>6</v>
      </c>
      <c r="F8" s="68"/>
      <c r="G8" s="38"/>
      <c r="H8" s="38"/>
      <c r="I8" s="41"/>
      <c r="J8" s="41"/>
      <c r="K8" s="51"/>
      <c r="L8" s="50"/>
      <c r="M8" s="129"/>
      <c r="N8" s="129"/>
      <c r="O8" s="125"/>
      <c r="P8" s="125"/>
    </row>
    <row r="9" spans="1:17" ht="15" customHeight="1" x14ac:dyDescent="0.25">
      <c r="A9" s="64" t="s">
        <v>21</v>
      </c>
      <c r="B9" s="66">
        <v>2</v>
      </c>
      <c r="C9" s="65" t="s">
        <v>6</v>
      </c>
      <c r="D9" s="36">
        <f>IF(C9=H5,CEILING((B9/D2),1),B9)</f>
        <v>2</v>
      </c>
      <c r="E9" s="40" t="s">
        <v>6</v>
      </c>
      <c r="F9" s="68"/>
      <c r="G9" s="38"/>
      <c r="H9" s="38"/>
      <c r="I9" s="41"/>
      <c r="J9" s="41"/>
      <c r="K9" s="51"/>
      <c r="L9" s="50"/>
      <c r="M9" s="129"/>
      <c r="N9" s="129"/>
      <c r="O9" s="129"/>
      <c r="P9" s="125"/>
    </row>
    <row r="10" spans="1:17" ht="15" customHeight="1" x14ac:dyDescent="0.25">
      <c r="A10" s="64" t="s">
        <v>13</v>
      </c>
      <c r="B10" s="66">
        <v>7.8</v>
      </c>
      <c r="C10" s="65" t="s">
        <v>137</v>
      </c>
      <c r="D10" s="36">
        <f>IF(C10="us",(B10/D2)*1000,B10)</f>
        <v>1560</v>
      </c>
      <c r="E10" s="40" t="s">
        <v>6</v>
      </c>
      <c r="F10" s="68"/>
      <c r="G10" s="38"/>
      <c r="H10" s="41"/>
      <c r="I10" s="41"/>
      <c r="J10" s="41"/>
      <c r="K10" s="51"/>
      <c r="L10" s="50"/>
      <c r="M10" s="129"/>
      <c r="N10" s="129"/>
      <c r="O10" s="129"/>
      <c r="P10" s="125"/>
    </row>
    <row r="11" spans="1:17" ht="15" customHeight="1" x14ac:dyDescent="0.25">
      <c r="A11" s="64" t="s">
        <v>14</v>
      </c>
      <c r="B11" s="66">
        <v>72</v>
      </c>
      <c r="C11" s="65" t="s">
        <v>4</v>
      </c>
      <c r="D11" s="36">
        <f>IF(C11=H5,CEILING((B11/D2),1),B11)</f>
        <v>15</v>
      </c>
      <c r="E11" s="40" t="s">
        <v>6</v>
      </c>
      <c r="F11" s="68"/>
      <c r="G11" s="38" t="s">
        <v>137</v>
      </c>
      <c r="H11" s="39" t="s">
        <v>78</v>
      </c>
      <c r="I11" s="39" t="s">
        <v>100</v>
      </c>
      <c r="J11" s="39" t="s">
        <v>103</v>
      </c>
      <c r="K11" s="52"/>
      <c r="L11" s="50"/>
      <c r="M11" s="126"/>
      <c r="N11" s="126"/>
      <c r="O11" s="129"/>
      <c r="P11" s="129"/>
    </row>
    <row r="12" spans="1:17" ht="15" customHeight="1" x14ac:dyDescent="0.25">
      <c r="A12" s="64" t="s">
        <v>15</v>
      </c>
      <c r="B12" s="66">
        <v>9.6</v>
      </c>
      <c r="C12" s="65" t="s">
        <v>4</v>
      </c>
      <c r="D12" s="36">
        <f>IF(C12=H5,CEILING((B12/D2),1),B12)</f>
        <v>2</v>
      </c>
      <c r="E12" s="40" t="s">
        <v>6</v>
      </c>
      <c r="F12" s="68"/>
      <c r="G12" s="38" t="s">
        <v>6</v>
      </c>
      <c r="H12" s="41">
        <f>64</f>
        <v>64</v>
      </c>
      <c r="I12" s="41">
        <v>3</v>
      </c>
      <c r="J12" s="41">
        <v>4</v>
      </c>
      <c r="K12" s="53"/>
      <c r="L12" s="50"/>
      <c r="M12" s="125"/>
      <c r="N12" s="125"/>
      <c r="O12" s="129"/>
      <c r="P12" s="129"/>
    </row>
    <row r="13" spans="1:17" ht="15" customHeight="1" x14ac:dyDescent="0.25">
      <c r="A13" s="64" t="s">
        <v>10</v>
      </c>
      <c r="B13" s="66">
        <v>14.4</v>
      </c>
      <c r="C13" s="65" t="s">
        <v>4</v>
      </c>
      <c r="D13" s="36">
        <f>IF(C13=H5,CEILING((B13/D2),1),B13)</f>
        <v>3</v>
      </c>
      <c r="E13" s="40" t="s">
        <v>6</v>
      </c>
      <c r="F13" s="68"/>
      <c r="G13" s="38"/>
      <c r="H13" s="41">
        <f>128</f>
        <v>128</v>
      </c>
      <c r="I13" s="61"/>
      <c r="J13" s="41">
        <v>8</v>
      </c>
      <c r="K13" s="51"/>
      <c r="L13" s="53"/>
      <c r="M13" s="125"/>
      <c r="N13" s="125"/>
      <c r="O13" s="129"/>
      <c r="P13" s="129"/>
    </row>
    <row r="14" spans="1:17" ht="15" customHeight="1" x14ac:dyDescent="0.25">
      <c r="A14" s="64" t="s">
        <v>11</v>
      </c>
      <c r="B14" s="66">
        <v>2</v>
      </c>
      <c r="C14" s="65" t="s">
        <v>6</v>
      </c>
      <c r="D14" s="36">
        <f>IF(C14=H5,CEILING((B14/D2),1),B14)</f>
        <v>2</v>
      </c>
      <c r="E14" s="40" t="s">
        <v>6</v>
      </c>
      <c r="F14" s="68"/>
      <c r="G14" s="38"/>
      <c r="H14" s="41">
        <f>256</f>
        <v>256</v>
      </c>
      <c r="I14" s="38"/>
      <c r="J14" s="61"/>
      <c r="K14" s="51"/>
      <c r="L14" s="50"/>
      <c r="M14" s="125"/>
      <c r="N14" s="125"/>
      <c r="O14" s="129"/>
      <c r="P14" s="129"/>
    </row>
    <row r="15" spans="1:17" ht="15" customHeight="1" x14ac:dyDescent="0.25">
      <c r="A15" s="64" t="s">
        <v>12</v>
      </c>
      <c r="B15" s="66">
        <v>1</v>
      </c>
      <c r="C15" s="65" t="s">
        <v>6</v>
      </c>
      <c r="D15" s="36">
        <f>IF(C15=H5,CEILING((B15/D2),1),B15)</f>
        <v>1</v>
      </c>
      <c r="E15" s="40" t="s">
        <v>6</v>
      </c>
      <c r="F15" s="36">
        <v>0</v>
      </c>
      <c r="G15" s="38"/>
      <c r="H15" s="41">
        <f>512</f>
        <v>512</v>
      </c>
      <c r="I15" s="38"/>
      <c r="J15" s="41"/>
      <c r="K15" s="51"/>
      <c r="L15" s="50"/>
      <c r="M15" s="125"/>
      <c r="N15" s="125"/>
      <c r="O15" s="129"/>
      <c r="P15" s="129"/>
    </row>
    <row r="16" spans="1:17" ht="15" customHeight="1" x14ac:dyDescent="0.25">
      <c r="A16" s="64" t="s">
        <v>71</v>
      </c>
      <c r="B16" s="145">
        <v>3</v>
      </c>
      <c r="C16" s="65" t="s">
        <v>6</v>
      </c>
      <c r="D16" s="36">
        <f>B16</f>
        <v>3</v>
      </c>
      <c r="E16" s="40" t="s">
        <v>6</v>
      </c>
      <c r="F16" s="36">
        <v>0</v>
      </c>
      <c r="G16" s="38"/>
      <c r="H16" s="41">
        <f>1024</f>
        <v>1024</v>
      </c>
      <c r="I16" s="41"/>
      <c r="J16" s="41"/>
      <c r="K16" s="51"/>
      <c r="L16" s="50"/>
      <c r="M16" s="125"/>
      <c r="N16" s="129"/>
      <c r="O16" s="129"/>
      <c r="P16" s="129"/>
    </row>
    <row r="17" spans="1:34" ht="15" customHeight="1" x14ac:dyDescent="0.25">
      <c r="A17" s="64" t="s">
        <v>69</v>
      </c>
      <c r="B17" s="66">
        <v>4</v>
      </c>
      <c r="C17" s="65" t="s">
        <v>6</v>
      </c>
      <c r="D17" s="143">
        <f>LOG(B17,2)</f>
        <v>2</v>
      </c>
      <c r="E17" s="40" t="s">
        <v>6</v>
      </c>
      <c r="F17" s="68"/>
      <c r="G17" s="38"/>
      <c r="H17" s="41">
        <f>2048</f>
        <v>2048</v>
      </c>
      <c r="I17" s="41"/>
      <c r="J17" s="41"/>
      <c r="K17" s="51"/>
      <c r="L17" s="50"/>
      <c r="M17" s="125"/>
      <c r="N17" s="129"/>
      <c r="O17" s="129"/>
      <c r="P17" s="129"/>
    </row>
    <row r="18" spans="1:34" ht="15" customHeight="1" x14ac:dyDescent="0.25">
      <c r="A18" s="64" t="s">
        <v>88</v>
      </c>
      <c r="B18" s="128">
        <v>80000000</v>
      </c>
      <c r="C18" s="141" t="s">
        <v>116</v>
      </c>
      <c r="D18" s="144">
        <f>HEX2DEC(B18)</f>
        <v>2147483648</v>
      </c>
      <c r="E18" s="67"/>
      <c r="F18" s="68"/>
      <c r="G18" s="38"/>
      <c r="H18" s="61"/>
      <c r="I18" s="61"/>
      <c r="J18" s="61"/>
      <c r="K18" s="51"/>
      <c r="L18" s="50"/>
      <c r="M18" s="125"/>
      <c r="N18" s="129"/>
      <c r="O18" s="129"/>
      <c r="P18" s="129"/>
    </row>
    <row r="19" spans="1:34" ht="15" customHeight="1" thickBot="1" x14ac:dyDescent="0.3">
      <c r="F19" s="140"/>
      <c r="G19" s="140"/>
      <c r="K19" s="63"/>
      <c r="L19" s="62"/>
      <c r="M19" s="129"/>
      <c r="N19" s="129"/>
      <c r="O19" s="129"/>
      <c r="P19" s="129"/>
    </row>
    <row r="20" spans="1:34" ht="30" customHeight="1" thickBot="1" x14ac:dyDescent="0.3">
      <c r="A20" s="30" t="s">
        <v>23</v>
      </c>
      <c r="B20" s="30" t="s">
        <v>24</v>
      </c>
      <c r="C20" s="131">
        <v>31</v>
      </c>
      <c r="D20" s="131">
        <v>30</v>
      </c>
      <c r="E20" s="131">
        <v>29</v>
      </c>
      <c r="F20" s="131">
        <v>28</v>
      </c>
      <c r="G20" s="131">
        <v>27</v>
      </c>
      <c r="H20" s="131">
        <v>26</v>
      </c>
      <c r="I20" s="131">
        <v>25</v>
      </c>
      <c r="J20" s="131">
        <v>24</v>
      </c>
      <c r="K20" s="131">
        <v>23</v>
      </c>
      <c r="L20" s="131">
        <v>22</v>
      </c>
      <c r="M20" s="131">
        <v>21</v>
      </c>
      <c r="N20" s="131">
        <v>20</v>
      </c>
      <c r="O20" s="131">
        <v>19</v>
      </c>
      <c r="P20" s="131">
        <v>18</v>
      </c>
      <c r="Q20" s="131">
        <v>17</v>
      </c>
      <c r="R20" s="131">
        <v>16</v>
      </c>
      <c r="S20" s="131">
        <v>15</v>
      </c>
      <c r="T20" s="131">
        <v>14</v>
      </c>
      <c r="U20" s="131">
        <v>13</v>
      </c>
      <c r="V20" s="131">
        <v>12</v>
      </c>
      <c r="W20" s="131">
        <v>11</v>
      </c>
      <c r="X20" s="131">
        <v>10</v>
      </c>
      <c r="Y20" s="131">
        <v>9</v>
      </c>
      <c r="Z20" s="131">
        <v>8</v>
      </c>
      <c r="AA20" s="131">
        <v>7</v>
      </c>
      <c r="AB20" s="131">
        <v>6</v>
      </c>
      <c r="AC20" s="131">
        <v>5</v>
      </c>
      <c r="AD20" s="131">
        <v>4</v>
      </c>
      <c r="AE20" s="131">
        <v>3</v>
      </c>
      <c r="AF20" s="131">
        <v>2</v>
      </c>
      <c r="AG20" s="131">
        <v>1</v>
      </c>
      <c r="AH20" s="131">
        <v>0</v>
      </c>
    </row>
    <row r="21" spans="1:34" ht="15.75" thickBot="1" x14ac:dyDescent="0.3">
      <c r="A21" s="48"/>
      <c r="B21" s="48"/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132"/>
      <c r="O21" s="132"/>
      <c r="P21" s="132"/>
      <c r="Q21" s="132"/>
      <c r="R21" s="132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  <c r="AD21" s="132"/>
      <c r="AE21" s="132"/>
      <c r="AF21" s="132"/>
      <c r="AG21" s="132"/>
      <c r="AH21" s="133"/>
    </row>
    <row r="22" spans="1:34" ht="15.75" thickBot="1" x14ac:dyDescent="0.3">
      <c r="A22" s="207" t="s">
        <v>25</v>
      </c>
      <c r="B22" s="209" t="str">
        <f xml:space="preserve"> DEC2HEX(AH23 + AG23*2 + AF23*2^2 + AE23*2^3 + AD23*2^4 + AC23*2^5 + AB23*2^6 + AA23*2^7 + Z23*2^8 + Y23*2^9 + X23*2^10 + W23*2^11 + V23*2^12+ U23*2^13 + T23*2^14 + S23*2^15 + R23*2^16 + Q23*2^17 + P23*2^18 + O23*2^19 + N23*2^20 + M23*2^21 + L23*2^22 + K23*2^23 + J23*2^24 + I23*2^25 + H23*2^26 + G23*2^27 + F23*2^28 +  E23*2^29 +  D23*2^30 + C23*2^31,8)</f>
        <v>00000406</v>
      </c>
      <c r="C22" s="216" t="s">
        <v>26</v>
      </c>
      <c r="D22" s="226"/>
      <c r="E22" s="226"/>
      <c r="F22" s="226"/>
      <c r="G22" s="226"/>
      <c r="H22" s="217"/>
      <c r="I22" s="1" t="s">
        <v>27</v>
      </c>
      <c r="J22" s="2" t="s">
        <v>28</v>
      </c>
      <c r="K22" s="216" t="s">
        <v>26</v>
      </c>
      <c r="L22" s="226"/>
      <c r="M22" s="226"/>
      <c r="N22" s="226"/>
      <c r="O22" s="226"/>
      <c r="P22" s="226"/>
      <c r="Q22" s="226"/>
      <c r="R22" s="226"/>
      <c r="S22" s="226"/>
      <c r="T22" s="217"/>
      <c r="U22" s="2" t="s">
        <v>29</v>
      </c>
      <c r="V22" s="2" t="s">
        <v>30</v>
      </c>
      <c r="W22" s="211" t="s">
        <v>31</v>
      </c>
      <c r="X22" s="212"/>
      <c r="Y22" s="213"/>
      <c r="Z22" s="1" t="s">
        <v>32</v>
      </c>
      <c r="AA22" s="2" t="s">
        <v>33</v>
      </c>
      <c r="AB22" s="2" t="s">
        <v>34</v>
      </c>
      <c r="AC22" s="2" t="s">
        <v>35</v>
      </c>
      <c r="AD22" s="2" t="s">
        <v>36</v>
      </c>
      <c r="AE22" s="2" t="s">
        <v>37</v>
      </c>
      <c r="AF22" s="49" t="s">
        <v>38</v>
      </c>
      <c r="AG22" s="49" t="s">
        <v>39</v>
      </c>
      <c r="AH22" s="49" t="s">
        <v>40</v>
      </c>
    </row>
    <row r="23" spans="1:34" ht="15.75" thickBot="1" x14ac:dyDescent="0.3">
      <c r="A23" s="208"/>
      <c r="B23" s="210"/>
      <c r="C23" s="218"/>
      <c r="D23" s="227"/>
      <c r="E23" s="227"/>
      <c r="F23" s="227"/>
      <c r="G23" s="227"/>
      <c r="H23" s="219"/>
      <c r="I23" s="3">
        <v>0</v>
      </c>
      <c r="J23" s="3">
        <v>0</v>
      </c>
      <c r="K23" s="218"/>
      <c r="L23" s="227"/>
      <c r="M23" s="227"/>
      <c r="N23" s="227"/>
      <c r="O23" s="227"/>
      <c r="P23" s="227"/>
      <c r="Q23" s="227"/>
      <c r="R23" s="227"/>
      <c r="S23" s="227"/>
      <c r="T23" s="219"/>
      <c r="U23" s="3">
        <v>0</v>
      </c>
      <c r="V23" s="3">
        <v>0</v>
      </c>
      <c r="W23" s="4">
        <v>0</v>
      </c>
      <c r="X23" s="5">
        <v>1</v>
      </c>
      <c r="Y23" s="10">
        <v>0</v>
      </c>
      <c r="Z23" s="3">
        <v>0</v>
      </c>
      <c r="AA23" s="3">
        <v>0</v>
      </c>
      <c r="AB23" s="3">
        <v>0</v>
      </c>
      <c r="AC23" s="3">
        <v>0</v>
      </c>
      <c r="AD23" s="3">
        <v>0</v>
      </c>
      <c r="AE23" s="3">
        <v>0</v>
      </c>
      <c r="AF23" s="3">
        <v>1</v>
      </c>
      <c r="AG23" s="3">
        <v>1</v>
      </c>
      <c r="AH23" s="3">
        <v>0</v>
      </c>
    </row>
    <row r="24" spans="1:34" ht="15.75" thickBot="1" x14ac:dyDescent="0.3">
      <c r="A24" s="47"/>
      <c r="B24" s="59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</row>
    <row r="25" spans="1:34" ht="15.75" thickBot="1" x14ac:dyDescent="0.3">
      <c r="A25" s="207" t="s">
        <v>41</v>
      </c>
      <c r="B25" s="209" t="str">
        <f xml:space="preserve"> DEC2HEX(AH26 + AG26*2 + AF26*2^2 + AE26*2^3 + AD26*2^4 + AC26*2^5 + AB26*2^6 + AA26*2^7 + Z26*2^8 + Y26*2^9 + X26*2^10 + W26*2^11 + V26*2^12+ U26*2^13 + T26*2^14 + S26*2^15 + R26*2^16 + Q26*2^17 + P26*2^18 + O26*2^19 + N26*2^20 + M26*2^21 + L26*2^22 + K26*2^23 + J26*2^24 + I26*2^25 + H26*2^26 + G26*2^27 + F26*2^28 +  E26*2^29 +  D26*2^30 + C26*2^31,8)</f>
        <v>00000522</v>
      </c>
      <c r="C25" s="216" t="s">
        <v>26</v>
      </c>
      <c r="D25" s="226"/>
      <c r="E25" s="226"/>
      <c r="F25" s="226"/>
      <c r="G25" s="226"/>
      <c r="H25" s="226"/>
      <c r="I25" s="226"/>
      <c r="J25" s="226"/>
      <c r="K25" s="226"/>
      <c r="L25" s="226"/>
      <c r="M25" s="226"/>
      <c r="N25" s="226"/>
      <c r="O25" s="226"/>
      <c r="P25" s="226"/>
      <c r="Q25" s="226"/>
      <c r="R25" s="217"/>
      <c r="S25" s="211" t="s">
        <v>42</v>
      </c>
      <c r="T25" s="212"/>
      <c r="U25" s="212"/>
      <c r="V25" s="213"/>
      <c r="W25" s="211" t="s">
        <v>43</v>
      </c>
      <c r="X25" s="212"/>
      <c r="Y25" s="212"/>
      <c r="Z25" s="213"/>
      <c r="AA25" s="211" t="s">
        <v>44</v>
      </c>
      <c r="AB25" s="212"/>
      <c r="AC25" s="212"/>
      <c r="AD25" s="213"/>
      <c r="AE25" s="211" t="s">
        <v>45</v>
      </c>
      <c r="AF25" s="212"/>
      <c r="AG25" s="212"/>
      <c r="AH25" s="213"/>
    </row>
    <row r="26" spans="1:34" ht="15.75" thickBot="1" x14ac:dyDescent="0.3">
      <c r="A26" s="208"/>
      <c r="B26" s="210"/>
      <c r="C26" s="218"/>
      <c r="D26" s="227"/>
      <c r="E26" s="227"/>
      <c r="F26" s="227"/>
      <c r="G26" s="227"/>
      <c r="H26" s="227"/>
      <c r="I26" s="227"/>
      <c r="J26" s="227"/>
      <c r="K26" s="227"/>
      <c r="L26" s="227"/>
      <c r="M26" s="227"/>
      <c r="N26" s="227"/>
      <c r="O26" s="227"/>
      <c r="P26" s="227"/>
      <c r="Q26" s="227"/>
      <c r="R26" s="219"/>
      <c r="S26" s="4">
        <v>0</v>
      </c>
      <c r="T26" s="5">
        <v>0</v>
      </c>
      <c r="U26" s="5">
        <v>0</v>
      </c>
      <c r="V26" s="6">
        <v>0</v>
      </c>
      <c r="W26" s="4">
        <f>MOD(INT(D3/8),2)</f>
        <v>0</v>
      </c>
      <c r="X26" s="5">
        <f xml:space="preserve"> MOD(INT(D3/4),2)</f>
        <v>1</v>
      </c>
      <c r="Y26" s="5">
        <f>MOD(INT(D3/2),2)</f>
        <v>0</v>
      </c>
      <c r="Z26" s="6">
        <f xml:space="preserve"> MOD(D3,2)</f>
        <v>1</v>
      </c>
      <c r="AA26" s="7">
        <v>0</v>
      </c>
      <c r="AB26" s="8">
        <v>0</v>
      </c>
      <c r="AC26" s="9">
        <v>1</v>
      </c>
      <c r="AD26" s="6">
        <v>0</v>
      </c>
      <c r="AE26" s="7">
        <v>0</v>
      </c>
      <c r="AF26" s="8">
        <v>0</v>
      </c>
      <c r="AG26" s="5">
        <v>1</v>
      </c>
      <c r="AH26" s="6">
        <v>0</v>
      </c>
    </row>
    <row r="27" spans="1:34" ht="15.75" thickBot="1" x14ac:dyDescent="0.3">
      <c r="A27" s="47"/>
      <c r="B27" s="59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</row>
    <row r="28" spans="1:34" ht="15.75" thickBot="1" x14ac:dyDescent="0.3">
      <c r="A28" s="207" t="s">
        <v>46</v>
      </c>
      <c r="B28" s="209" t="str">
        <f xml:space="preserve"> DEC2HEX(AH29 + AG29*2 + AF29*2^2 + AE29*2^3 + AD29*2^4 + AC29*2^5 + AB29*2^6 + AA29*2^7 + Z29*2^8 + Y29*2^9 + X29*2^10 + W29*2^11 + V29*2^12+ U29*2^13 + T29*2^14 + S29*2^15 + R29*2^16 + Q29*2^17 + P29*2^18 + O29*2^19 + N29*2^20 + M29*2^21 + L29*2^22 + K29*2^23 + J29*2^24 + I29*2^25 + H29*2^26 + G29*2^27 + F29*2^28 +  E29*2^29 +  D29*2^30 + C29*2^31,8)</f>
        <v>20B08323</v>
      </c>
      <c r="C28" s="211" t="s">
        <v>21</v>
      </c>
      <c r="D28" s="212"/>
      <c r="E28" s="212"/>
      <c r="F28" s="213"/>
      <c r="G28" s="216" t="s">
        <v>26</v>
      </c>
      <c r="H28" s="217"/>
      <c r="I28" s="211" t="s">
        <v>20</v>
      </c>
      <c r="J28" s="212"/>
      <c r="K28" s="212"/>
      <c r="L28" s="212"/>
      <c r="M28" s="212"/>
      <c r="N28" s="213"/>
      <c r="O28" s="216" t="s">
        <v>26</v>
      </c>
      <c r="P28" s="226"/>
      <c r="Q28" s="217"/>
      <c r="R28" s="211" t="s">
        <v>19</v>
      </c>
      <c r="S28" s="212"/>
      <c r="T28" s="212"/>
      <c r="U28" s="212"/>
      <c r="V28" s="213"/>
      <c r="W28" s="211" t="s">
        <v>18</v>
      </c>
      <c r="X28" s="212"/>
      <c r="Y28" s="212"/>
      <c r="Z28" s="213"/>
      <c r="AA28" s="211" t="s">
        <v>17</v>
      </c>
      <c r="AB28" s="212"/>
      <c r="AC28" s="212"/>
      <c r="AD28" s="213"/>
      <c r="AE28" s="211" t="s">
        <v>16</v>
      </c>
      <c r="AF28" s="212"/>
      <c r="AG28" s="212"/>
      <c r="AH28" s="213"/>
    </row>
    <row r="29" spans="1:34" ht="15.75" thickBot="1" x14ac:dyDescent="0.3">
      <c r="A29" s="208"/>
      <c r="B29" s="210"/>
      <c r="C29" s="7">
        <f>MOD(INT(D9/8),2)</f>
        <v>0</v>
      </c>
      <c r="D29" s="8">
        <f>MOD(INT(D9/4),2)</f>
        <v>0</v>
      </c>
      <c r="E29" s="9">
        <f>MOD(INT(D9/2),2)</f>
        <v>1</v>
      </c>
      <c r="F29" s="6">
        <f>MOD(D9,2)</f>
        <v>0</v>
      </c>
      <c r="G29" s="218"/>
      <c r="H29" s="219"/>
      <c r="I29" s="4">
        <f>MOD(INT(D8/32),2)</f>
        <v>0</v>
      </c>
      <c r="J29" s="5">
        <f>MOD(INT(D8/16),2)</f>
        <v>0</v>
      </c>
      <c r="K29" s="5">
        <f>MOD(INT(D8/8),2)</f>
        <v>1</v>
      </c>
      <c r="L29" s="5">
        <f>MOD(INT(D8/4),2)</f>
        <v>0</v>
      </c>
      <c r="M29" s="5">
        <f>MOD(INT(D8/2),2)</f>
        <v>1</v>
      </c>
      <c r="N29" s="6">
        <f>MOD(D8,2)</f>
        <v>1</v>
      </c>
      <c r="O29" s="218"/>
      <c r="P29" s="227"/>
      <c r="Q29" s="219"/>
      <c r="R29" s="7">
        <f>MOD(INT(D7/16),2)</f>
        <v>0</v>
      </c>
      <c r="S29" s="5">
        <f>MOD(INT(D7/8),2)</f>
        <v>1</v>
      </c>
      <c r="T29" s="8">
        <f>MOD(INT(D7/4),2)</f>
        <v>0</v>
      </c>
      <c r="U29" s="9">
        <f>MOD(INT(D7/2),2)</f>
        <v>0</v>
      </c>
      <c r="V29" s="6">
        <f>MOD(D7,2)</f>
        <v>0</v>
      </c>
      <c r="W29" s="4">
        <f>MOD(INT(D6/8),2)</f>
        <v>0</v>
      </c>
      <c r="X29" s="9">
        <f>MOD(INT(D6/4),2)</f>
        <v>0</v>
      </c>
      <c r="Y29" s="5">
        <f>MOD(INT(D6/2),2)</f>
        <v>1</v>
      </c>
      <c r="Z29" s="10">
        <f>MOD(D6,2)</f>
        <v>1</v>
      </c>
      <c r="AA29" s="4">
        <f>MOD(INT(D5/8),2)</f>
        <v>0</v>
      </c>
      <c r="AB29" s="5">
        <f>MOD(INT(D5/4),2)</f>
        <v>0</v>
      </c>
      <c r="AC29" s="5">
        <f>MOD(INT(D5/2),2)</f>
        <v>1</v>
      </c>
      <c r="AD29" s="10">
        <f>MOD(D5,2)</f>
        <v>0</v>
      </c>
      <c r="AE29" s="4">
        <f>MOD(INT(D4/8),2)</f>
        <v>0</v>
      </c>
      <c r="AF29" s="9">
        <f>MOD(INT(D4/4),2)</f>
        <v>0</v>
      </c>
      <c r="AG29" s="9">
        <f>MOD(INT(D4/2),2)</f>
        <v>1</v>
      </c>
      <c r="AH29" s="6">
        <f>MOD(D4,2)</f>
        <v>1</v>
      </c>
    </row>
    <row r="30" spans="1:34" ht="15.75" thickBot="1" x14ac:dyDescent="0.3">
      <c r="A30" s="47"/>
      <c r="B30" s="59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</row>
    <row r="31" spans="1:34" ht="15.75" thickBot="1" x14ac:dyDescent="0.3">
      <c r="A31" s="207" t="s">
        <v>47</v>
      </c>
      <c r="B31" s="252" t="str">
        <f xml:space="preserve"> DEC2HEX(AH32+AG32*2+AF32*2^2+AE32*2^3+AD32*2^4+AC32*2^5+AB32*2^6+AA32*2^7+Z32*2^8+Y32*2^9+X32*2^10+W32*2^11+V32*2^12+U32*2^13+T32*2^14+S32*2^15+R32*2^16+Q32*2^17+P32*2^18+O32*2^19+N32*2^20+M32*2^21+L32*2^22+K32*2^23+J32*2^24+I32*2^25+H32*2^26+G32*2^27+F32*2^28+E32*2^29+D32*2^30+C32*2^31,8)</f>
        <v>200F0618</v>
      </c>
      <c r="C31" s="241" t="s">
        <v>26</v>
      </c>
      <c r="D31" s="211" t="s">
        <v>15</v>
      </c>
      <c r="E31" s="212"/>
      <c r="F31" s="213"/>
      <c r="G31" s="216" t="s">
        <v>26</v>
      </c>
      <c r="H31" s="226"/>
      <c r="I31" s="226"/>
      <c r="J31" s="217"/>
      <c r="K31" s="211" t="s">
        <v>14</v>
      </c>
      <c r="L31" s="212"/>
      <c r="M31" s="212"/>
      <c r="N31" s="212"/>
      <c r="O31" s="212"/>
      <c r="P31" s="212"/>
      <c r="Q31" s="212"/>
      <c r="R31" s="213"/>
      <c r="S31" s="216" t="s">
        <v>26</v>
      </c>
      <c r="T31" s="217"/>
      <c r="U31" s="211" t="s">
        <v>13</v>
      </c>
      <c r="V31" s="212"/>
      <c r="W31" s="212"/>
      <c r="X31" s="212"/>
      <c r="Y31" s="212"/>
      <c r="Z31" s="212"/>
      <c r="AA31" s="212"/>
      <c r="AB31" s="212"/>
      <c r="AC31" s="212"/>
      <c r="AD31" s="212"/>
      <c r="AE31" s="212"/>
      <c r="AF31" s="212"/>
      <c r="AG31" s="212"/>
      <c r="AH31" s="213"/>
    </row>
    <row r="32" spans="1:34" ht="15.75" thickBot="1" x14ac:dyDescent="0.3">
      <c r="A32" s="208"/>
      <c r="B32" s="253"/>
      <c r="C32" s="242"/>
      <c r="D32" s="11">
        <f>MOD(INT(D12/4),2)</f>
        <v>0</v>
      </c>
      <c r="E32" s="12">
        <f>MOD(INT(D12/2),2)</f>
        <v>1</v>
      </c>
      <c r="F32" s="13">
        <f>MOD(D12,2)</f>
        <v>0</v>
      </c>
      <c r="G32" s="218"/>
      <c r="H32" s="227"/>
      <c r="I32" s="227"/>
      <c r="J32" s="219"/>
      <c r="K32" s="11">
        <f>MOD(INT(D11/128),2)</f>
        <v>0</v>
      </c>
      <c r="L32" s="12">
        <f>MOD(INT(D11/64),2)</f>
        <v>0</v>
      </c>
      <c r="M32" s="12">
        <f>MOD(INT(D11/32),2)</f>
        <v>0</v>
      </c>
      <c r="N32" s="12">
        <f>MOD(INT(D11/16),2)</f>
        <v>0</v>
      </c>
      <c r="O32" s="14">
        <f>MOD(INT(D11/8),2)</f>
        <v>1</v>
      </c>
      <c r="P32" s="14">
        <f>MOD(INT(D11/4),2)</f>
        <v>1</v>
      </c>
      <c r="Q32" s="14">
        <f>MOD(INT(D11/2),2)</f>
        <v>1</v>
      </c>
      <c r="R32" s="15">
        <f>MOD(D11,2)</f>
        <v>1</v>
      </c>
      <c r="S32" s="218"/>
      <c r="T32" s="219"/>
      <c r="U32" s="11">
        <f>MOD(INT(D10/8192),2)</f>
        <v>0</v>
      </c>
      <c r="V32" s="12">
        <f>MOD(INT(D10/4096),2)</f>
        <v>0</v>
      </c>
      <c r="W32" s="12">
        <f>MOD(INT(D10/2048),2)</f>
        <v>0</v>
      </c>
      <c r="X32" s="12">
        <f>MOD(INT(D10/1024),2)</f>
        <v>1</v>
      </c>
      <c r="Y32" s="12">
        <f>MOD(INT(D10/512),2)</f>
        <v>1</v>
      </c>
      <c r="Z32" s="12">
        <f>MOD(INT(D10/256),2)</f>
        <v>0</v>
      </c>
      <c r="AA32" s="12">
        <f>MOD(INT(D10/128),2)</f>
        <v>0</v>
      </c>
      <c r="AB32" s="12">
        <f>MOD(INT(D10/64),2)</f>
        <v>0</v>
      </c>
      <c r="AC32" s="12">
        <f>MOD(INT(D10/32),2)</f>
        <v>0</v>
      </c>
      <c r="AD32" s="12">
        <f>MOD(INT(D10/16),2)</f>
        <v>1</v>
      </c>
      <c r="AE32" s="14">
        <f>MOD(INT(D10/8),2)</f>
        <v>1</v>
      </c>
      <c r="AF32" s="16">
        <f>MOD(INT(D10/4),2)</f>
        <v>0</v>
      </c>
      <c r="AG32" s="12">
        <f>MOD(INT(D10/2),2)</f>
        <v>0</v>
      </c>
      <c r="AH32" s="13">
        <f>MOD(D10,2)</f>
        <v>0</v>
      </c>
    </row>
    <row r="33" spans="1:35" ht="15.75" thickBot="1" x14ac:dyDescent="0.3">
      <c r="A33" s="31"/>
      <c r="B33" s="59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8"/>
      <c r="AE33" s="17"/>
      <c r="AF33" s="17"/>
      <c r="AG33" s="17"/>
      <c r="AH33" s="17"/>
    </row>
    <row r="34" spans="1:35" ht="15.75" thickBot="1" x14ac:dyDescent="0.3">
      <c r="A34" s="207" t="s">
        <v>48</v>
      </c>
      <c r="B34" s="209" t="str">
        <f xml:space="preserve"> DEC2HEX(AH35 + AG35*2 + AF35*2^2 + AE35*2^3 + AD35*2^4 + AC35*2^5 + AB35*2^6 + AA35*2^7 + Z35*2^8 + Y35*2^9 + X35*2^10 + W35*2^11 + V35*2^12+ U35*2^13 + T35*2^14 + S35*2^15 + R35*2^16 + Q35*2^17 + P35*2^18 + O35*2^19 + N35*2^20 + M35*2^21 + L35*2^22 + K35*2^23 + J35*2^24 + I35*2^25 + H35*2^26 + G35*2^27 + F35*2^28 +  E35*2^29 +  D35*2^30 + C35*2^31,8)</f>
        <v>00123000</v>
      </c>
      <c r="C34" s="216" t="s">
        <v>26</v>
      </c>
      <c r="D34" s="226"/>
      <c r="E34" s="226"/>
      <c r="F34" s="226"/>
      <c r="G34" s="226"/>
      <c r="H34" s="226"/>
      <c r="I34" s="226"/>
      <c r="J34" s="217"/>
      <c r="K34" s="211" t="s">
        <v>12</v>
      </c>
      <c r="L34" s="212"/>
      <c r="M34" s="212"/>
      <c r="N34" s="213"/>
      <c r="O34" s="211" t="s">
        <v>11</v>
      </c>
      <c r="P34" s="212"/>
      <c r="Q34" s="212"/>
      <c r="R34" s="213"/>
      <c r="S34" s="211" t="s">
        <v>10</v>
      </c>
      <c r="T34" s="212"/>
      <c r="U34" s="212"/>
      <c r="V34" s="213"/>
      <c r="W34" s="211" t="s">
        <v>9</v>
      </c>
      <c r="X34" s="212"/>
      <c r="Y34" s="212"/>
      <c r="Z34" s="213"/>
      <c r="AA34" s="216" t="s">
        <v>26</v>
      </c>
      <c r="AB34" s="226"/>
      <c r="AC34" s="217"/>
      <c r="AD34" s="211" t="s">
        <v>8</v>
      </c>
      <c r="AE34" s="212"/>
      <c r="AF34" s="212"/>
      <c r="AG34" s="212"/>
      <c r="AH34" s="213"/>
    </row>
    <row r="35" spans="1:35" ht="15.75" thickBot="1" x14ac:dyDescent="0.3">
      <c r="A35" s="208"/>
      <c r="B35" s="210"/>
      <c r="C35" s="218"/>
      <c r="D35" s="227"/>
      <c r="E35" s="227"/>
      <c r="F35" s="227"/>
      <c r="G35" s="227"/>
      <c r="H35" s="227"/>
      <c r="I35" s="227"/>
      <c r="J35" s="219"/>
      <c r="K35" s="7">
        <f>MOD(INT(D15/8),2)</f>
        <v>0</v>
      </c>
      <c r="L35" s="5">
        <f>MOD(INT(D15/4),2)</f>
        <v>0</v>
      </c>
      <c r="M35" s="5">
        <f>MOD(INT(D15/2),2)</f>
        <v>0</v>
      </c>
      <c r="N35" s="6">
        <f>MOD(D15,2)</f>
        <v>1</v>
      </c>
      <c r="O35" s="7">
        <f>MOD(INT(D14/8),2)</f>
        <v>0</v>
      </c>
      <c r="P35" s="5">
        <f>MOD(INT(D14/4),2)</f>
        <v>0</v>
      </c>
      <c r="Q35" s="5">
        <f>MOD(INT(D14/2),2)</f>
        <v>1</v>
      </c>
      <c r="R35" s="6">
        <f>MOD(D14,2)</f>
        <v>0</v>
      </c>
      <c r="S35" s="7">
        <f>MOD(INT(D13/8),2)</f>
        <v>0</v>
      </c>
      <c r="T35" s="5">
        <f>MOD(INT(D13/4),2)</f>
        <v>0</v>
      </c>
      <c r="U35" s="5">
        <f>MOD(INT(D13/2),2)</f>
        <v>1</v>
      </c>
      <c r="V35" s="6">
        <f>MOD(D13,2)</f>
        <v>1</v>
      </c>
      <c r="W35" s="7">
        <f>MOD(INT(F16/8),2)</f>
        <v>0</v>
      </c>
      <c r="X35" s="5">
        <f>MOD(INT(F16/4),2)</f>
        <v>0</v>
      </c>
      <c r="Y35" s="5">
        <f>MOD(INT(F16/2),2)</f>
        <v>0</v>
      </c>
      <c r="Z35" s="6">
        <f>MOD(F16,2)</f>
        <v>0</v>
      </c>
      <c r="AA35" s="218"/>
      <c r="AB35" s="227"/>
      <c r="AC35" s="219"/>
      <c r="AD35" s="7">
        <f>MOD(INT(F15/16),2)</f>
        <v>0</v>
      </c>
      <c r="AE35" s="5">
        <f>MOD(INT(F15/8),2)</f>
        <v>0</v>
      </c>
      <c r="AF35" s="5">
        <f>MOD(INT(F15/4),2)</f>
        <v>0</v>
      </c>
      <c r="AG35" s="5">
        <f>MOD(INT(F15/2),2)</f>
        <v>0</v>
      </c>
      <c r="AH35" s="6">
        <f>MOD(F15,2)</f>
        <v>0</v>
      </c>
    </row>
    <row r="36" spans="1:35" ht="15.75" thickBot="1" x14ac:dyDescent="0.3">
      <c r="A36" s="32"/>
      <c r="B36" s="60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</row>
    <row r="37" spans="1:35" ht="15.75" thickBot="1" x14ac:dyDescent="0.3">
      <c r="A37" s="207" t="s">
        <v>110</v>
      </c>
      <c r="B37" s="209" t="str">
        <f xml:space="preserve"> DEC2HEX(AH38 + AG38*2 + AF38*2^2 + AE38*2^3 + AD38*2^4 + AC38*2^5 + AB38*2^6 + AA38*2^7 + Z38*2^8 + Y38*2^9 + X38*2^10 + W38*2^11 + V38*2^12+ U38*2^13 + T38*2^14 + S38*2^15 + R38*2^16 + Q38*2^17 + P38*2^18 + O38*2^19 + N38*2^20 + M38*2^21 + L38*2^22 + K38*2^23 + J38*2^24 + I38*2^25 + H38*2^26 + G38*2^27 + F38*2^28 +  E38*2^29 +  D38*2^30 + C38*2^31,8)</f>
        <v>00000032</v>
      </c>
      <c r="C37" s="216" t="s">
        <v>26</v>
      </c>
      <c r="D37" s="226"/>
      <c r="E37" s="226"/>
      <c r="F37" s="226"/>
      <c r="G37" s="226"/>
      <c r="H37" s="226"/>
      <c r="I37" s="226"/>
      <c r="J37" s="226"/>
      <c r="K37" s="226"/>
      <c r="L37" s="226"/>
      <c r="M37" s="226"/>
      <c r="N37" s="226"/>
      <c r="O37" s="226"/>
      <c r="P37" s="226"/>
      <c r="Q37" s="226"/>
      <c r="R37" s="226"/>
      <c r="S37" s="226"/>
      <c r="T37" s="226"/>
      <c r="U37" s="226"/>
      <c r="V37" s="226"/>
      <c r="W37" s="226"/>
      <c r="X37" s="226"/>
      <c r="Y37" s="226"/>
      <c r="Z37" s="226"/>
      <c r="AA37" s="217"/>
      <c r="AB37" s="238" t="s">
        <v>5</v>
      </c>
      <c r="AC37" s="240"/>
      <c r="AD37" s="239"/>
      <c r="AE37" s="216" t="s">
        <v>26</v>
      </c>
      <c r="AF37" s="217"/>
      <c r="AG37" s="238" t="s">
        <v>53</v>
      </c>
      <c r="AH37" s="239"/>
    </row>
    <row r="38" spans="1:35" ht="15.75" thickBot="1" x14ac:dyDescent="0.3">
      <c r="A38" s="208"/>
      <c r="B38" s="210"/>
      <c r="C38" s="218"/>
      <c r="D38" s="227"/>
      <c r="E38" s="227"/>
      <c r="F38" s="227"/>
      <c r="G38" s="227"/>
      <c r="H38" s="227"/>
      <c r="I38" s="227"/>
      <c r="J38" s="227"/>
      <c r="K38" s="227"/>
      <c r="L38" s="227"/>
      <c r="M38" s="227"/>
      <c r="N38" s="227"/>
      <c r="O38" s="227"/>
      <c r="P38" s="227"/>
      <c r="Q38" s="227"/>
      <c r="R38" s="227"/>
      <c r="S38" s="227"/>
      <c r="T38" s="227"/>
      <c r="U38" s="227"/>
      <c r="V38" s="227"/>
      <c r="W38" s="227"/>
      <c r="X38" s="227"/>
      <c r="Y38" s="227"/>
      <c r="Z38" s="227"/>
      <c r="AA38" s="219"/>
      <c r="AB38" s="43">
        <f>MOD(INT(D16/4),2)</f>
        <v>0</v>
      </c>
      <c r="AC38" s="44">
        <f>MOD(INT(D16/2),2)</f>
        <v>1</v>
      </c>
      <c r="AD38" s="45">
        <f>MOD(D16,2)</f>
        <v>1</v>
      </c>
      <c r="AE38" s="218"/>
      <c r="AF38" s="219"/>
      <c r="AG38" s="43">
        <f>MOD(INT(D17/2),2)</f>
        <v>1</v>
      </c>
      <c r="AH38" s="45">
        <f>MOD(D17,2)</f>
        <v>0</v>
      </c>
    </row>
    <row r="39" spans="1:35" ht="15.75" thickBot="1" x14ac:dyDescent="0.3">
      <c r="A39" s="32"/>
      <c r="B39" s="60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</row>
    <row r="40" spans="1:35" ht="15.75" thickBot="1" x14ac:dyDescent="0.3">
      <c r="A40" s="207" t="s">
        <v>113</v>
      </c>
      <c r="B40" s="209" t="str">
        <f xml:space="preserve"> DEC2HEX(AH41 + AG41*2 + AF41*2^2 + AE41*2^3 + AD41*2^4 + AC41*2^5 + AB41*2^6 + AA41*2^7 + Z41*2^8 + Y41*2^9 + X41*2^10 + W41*2^11 + V41*2^12+ U41*2^13 + T41*2^14 + S41*2^15 + R41*2^16 + Q41*2^17 + P41*2^18 + O41*2^19 + N41*2^20 + M41*2^21 + L41*2^22 + K41*2^23 + J41*2^24 + I41*2^25 + H41*2^26 + G41*2^27 + F41*2^28 +  E41*2^29 +  D41*2^30 + C41*2^31,8)</f>
        <v>00000000</v>
      </c>
      <c r="C40" s="216" t="s">
        <v>26</v>
      </c>
      <c r="D40" s="226"/>
      <c r="E40" s="226"/>
      <c r="F40" s="226"/>
      <c r="G40" s="226"/>
      <c r="H40" s="226"/>
      <c r="I40" s="226"/>
      <c r="J40" s="226"/>
      <c r="K40" s="226"/>
      <c r="L40" s="226"/>
      <c r="M40" s="226"/>
      <c r="N40" s="226"/>
      <c r="O40" s="226"/>
      <c r="P40" s="226"/>
      <c r="Q40" s="226"/>
      <c r="R40" s="226"/>
      <c r="S40" s="226"/>
      <c r="T40" s="226"/>
      <c r="U40" s="226"/>
      <c r="V40" s="226"/>
      <c r="W40" s="226"/>
      <c r="X40" s="226"/>
      <c r="Y40" s="226"/>
      <c r="Z40" s="217"/>
      <c r="AA40" s="1" t="s">
        <v>83</v>
      </c>
      <c r="AB40" s="211" t="s">
        <v>84</v>
      </c>
      <c r="AC40" s="213"/>
      <c r="AD40" s="235" t="s">
        <v>85</v>
      </c>
      <c r="AE40" s="237"/>
      <c r="AF40" s="235" t="s">
        <v>75</v>
      </c>
      <c r="AG40" s="236"/>
      <c r="AH40" s="237"/>
    </row>
    <row r="41" spans="1:35" ht="15.75" thickBot="1" x14ac:dyDescent="0.3">
      <c r="A41" s="208"/>
      <c r="B41" s="210"/>
      <c r="C41" s="218"/>
      <c r="D41" s="227"/>
      <c r="E41" s="227"/>
      <c r="F41" s="227"/>
      <c r="G41" s="227"/>
      <c r="H41" s="227"/>
      <c r="I41" s="227"/>
      <c r="J41" s="227"/>
      <c r="K41" s="227"/>
      <c r="L41" s="227"/>
      <c r="M41" s="227"/>
      <c r="N41" s="227"/>
      <c r="O41" s="227"/>
      <c r="P41" s="227"/>
      <c r="Q41" s="227"/>
      <c r="R41" s="227"/>
      <c r="S41" s="227"/>
      <c r="T41" s="227"/>
      <c r="U41" s="227"/>
      <c r="V41" s="227"/>
      <c r="W41" s="227"/>
      <c r="X41" s="227"/>
      <c r="Y41" s="227"/>
      <c r="Z41" s="219"/>
      <c r="AA41" s="20">
        <v>0</v>
      </c>
      <c r="AB41" s="21">
        <v>0</v>
      </c>
      <c r="AC41" s="22">
        <v>0</v>
      </c>
      <c r="AD41" s="21">
        <v>0</v>
      </c>
      <c r="AE41" s="22">
        <v>0</v>
      </c>
      <c r="AF41" s="21">
        <v>0</v>
      </c>
      <c r="AG41" s="23">
        <v>0</v>
      </c>
      <c r="AH41" s="22">
        <v>0</v>
      </c>
    </row>
    <row r="42" spans="1:35" ht="15.75" thickBot="1" x14ac:dyDescent="0.3"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36"/>
      <c r="M42" s="136"/>
      <c r="N42" s="136"/>
      <c r="O42" s="136"/>
      <c r="P42" s="136"/>
      <c r="Q42" s="136"/>
      <c r="R42" s="136"/>
      <c r="S42" s="136"/>
      <c r="T42" s="136"/>
      <c r="U42" s="136"/>
      <c r="V42" s="136"/>
      <c r="W42" s="136"/>
      <c r="X42" s="136"/>
      <c r="Y42" s="136"/>
      <c r="Z42" s="136"/>
      <c r="AA42" s="136"/>
      <c r="AB42" s="136"/>
      <c r="AC42" s="136"/>
      <c r="AD42" s="136"/>
      <c r="AE42" s="136"/>
      <c r="AF42" s="136"/>
      <c r="AG42" s="136"/>
      <c r="AH42" s="136"/>
    </row>
    <row r="43" spans="1:35" ht="15.75" thickBot="1" x14ac:dyDescent="0.3">
      <c r="A43" s="228" t="s">
        <v>61</v>
      </c>
      <c r="B43" s="209" t="str">
        <f xml:space="preserve"> DEC2HEX(AH44 + AG44*2 + AF44*2^2 + AE44*2^3 + AD44*2^4 + AC44*2^5 + AB44*2^6 + AA44*2^7 + Z44*2^8 + Y44*2^9 + X44*2^10 + W44*2^11 + V44*2^12+ U44*2^13 + T44*2^14 + S44*2^15 + R44*2^16 + Q44*2^17 + P44*2^18 + O44*2^19 + N44*2^20 + M44*2^21 + L44*2^22 + K44*2^23 + J44*2^24 + I44*2^25 + H44*2^26 + G44*2^27 + F44*2^28 +  E44*2^29 +  D44*2^30 + C44*2^31,8)</f>
        <v>00000000</v>
      </c>
      <c r="C43" s="216" t="s">
        <v>26</v>
      </c>
      <c r="D43" s="226"/>
      <c r="E43" s="226"/>
      <c r="F43" s="226"/>
      <c r="G43" s="226"/>
      <c r="H43" s="226"/>
      <c r="I43" s="226"/>
      <c r="J43" s="217"/>
      <c r="K43" s="211" t="s">
        <v>62</v>
      </c>
      <c r="L43" s="212"/>
      <c r="M43" s="212"/>
      <c r="N43" s="212"/>
      <c r="O43" s="212"/>
      <c r="P43" s="212"/>
      <c r="Q43" s="212"/>
      <c r="R43" s="213"/>
      <c r="S43" s="232" t="s">
        <v>63</v>
      </c>
      <c r="T43" s="233"/>
      <c r="U43" s="233"/>
      <c r="V43" s="233"/>
      <c r="W43" s="233"/>
      <c r="X43" s="233"/>
      <c r="Y43" s="233"/>
      <c r="Z43" s="234"/>
      <c r="AA43" s="232" t="s">
        <v>64</v>
      </c>
      <c r="AB43" s="233"/>
      <c r="AC43" s="233"/>
      <c r="AD43" s="233"/>
      <c r="AE43" s="233"/>
      <c r="AF43" s="233"/>
      <c r="AG43" s="233"/>
      <c r="AH43" s="234"/>
    </row>
    <row r="44" spans="1:35" ht="15.75" thickBot="1" x14ac:dyDescent="0.3">
      <c r="A44" s="229"/>
      <c r="B44" s="210"/>
      <c r="C44" s="218"/>
      <c r="D44" s="227"/>
      <c r="E44" s="227"/>
      <c r="F44" s="227"/>
      <c r="G44" s="227"/>
      <c r="H44" s="227"/>
      <c r="I44" s="227"/>
      <c r="J44" s="219"/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7">
        <v>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7">
        <v>0</v>
      </c>
      <c r="AC44" s="7">
        <v>0</v>
      </c>
      <c r="AD44" s="7">
        <v>0</v>
      </c>
      <c r="AE44" s="7">
        <v>0</v>
      </c>
      <c r="AF44" s="7">
        <v>0</v>
      </c>
      <c r="AG44" s="7">
        <v>0</v>
      </c>
      <c r="AH44" s="3">
        <v>0</v>
      </c>
    </row>
    <row r="45" spans="1:35" ht="15.75" thickBot="1" x14ac:dyDescent="0.3">
      <c r="B45" s="135"/>
      <c r="C45" s="136"/>
      <c r="D45" s="136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36"/>
      <c r="W45" s="136"/>
      <c r="X45" s="136"/>
      <c r="Y45" s="136"/>
      <c r="Z45" s="136"/>
      <c r="AA45" s="136"/>
      <c r="AB45" s="136"/>
      <c r="AC45" s="136"/>
      <c r="AD45" s="136"/>
      <c r="AE45" s="136"/>
      <c r="AF45" s="136"/>
      <c r="AG45" s="136"/>
      <c r="AH45" s="136"/>
      <c r="AI45" s="129"/>
    </row>
    <row r="46" spans="1:35" s="112" customFormat="1" x14ac:dyDescent="0.25">
      <c r="A46" s="177" t="s">
        <v>135</v>
      </c>
      <c r="B46" s="175" t="str">
        <f xml:space="preserve"> DEC2HEX(AH47 + AG47*2 + AF47*2^2 + AE47*2^3 + AD47*2^4 + AC47*2^5 + AB47*2^6 + AA47*2^7 + Z47*2^8 + Y47*2^9 + X47*2^10 + W47*2^11 + V47*2^12+ U47*2^13 + T47*2^14 + S47*2^15 + R47*2^16 + Q47*2^17 + P47*2^18 + O47*2^19 + N47*2^20 + M47*2^21 + L47*2^22 + K47*2^23 + J47*2^24 + I47*2^25 + H47*2^26 + G47*2^27 + F47*2^28 +  E47*2^29 +  D47*2^30 + C47*2^31,8)</f>
        <v>00000000</v>
      </c>
      <c r="C46" s="179" t="s">
        <v>26</v>
      </c>
      <c r="D46" s="180"/>
      <c r="E46" s="180"/>
      <c r="F46" s="180"/>
      <c r="G46" s="180"/>
      <c r="H46" s="180"/>
      <c r="I46" s="180"/>
      <c r="J46" s="180"/>
      <c r="K46" s="180"/>
      <c r="L46" s="180"/>
      <c r="M46" s="180"/>
      <c r="N46" s="180"/>
      <c r="O46" s="180"/>
      <c r="P46" s="180"/>
      <c r="Q46" s="180"/>
      <c r="R46" s="180"/>
      <c r="S46" s="180"/>
      <c r="T46" s="180"/>
      <c r="U46" s="180"/>
      <c r="V46" s="180"/>
      <c r="W46" s="180"/>
      <c r="X46" s="180"/>
      <c r="Y46" s="180"/>
      <c r="Z46" s="180"/>
      <c r="AA46" s="180"/>
      <c r="AB46" s="180"/>
      <c r="AC46" s="180"/>
      <c r="AD46" s="180"/>
      <c r="AE46" s="180"/>
      <c r="AF46" s="180"/>
      <c r="AG46" s="180"/>
      <c r="AH46" s="181"/>
    </row>
    <row r="47" spans="1:35" s="112" customFormat="1" ht="15.75" thickBot="1" x14ac:dyDescent="0.3">
      <c r="A47" s="178"/>
      <c r="B47" s="176"/>
      <c r="C47" s="182"/>
      <c r="D47" s="183"/>
      <c r="E47" s="183"/>
      <c r="F47" s="183"/>
      <c r="G47" s="183"/>
      <c r="H47" s="183"/>
      <c r="I47" s="183"/>
      <c r="J47" s="183"/>
      <c r="K47" s="183"/>
      <c r="L47" s="183"/>
      <c r="M47" s="183"/>
      <c r="N47" s="183"/>
      <c r="O47" s="183"/>
      <c r="P47" s="183"/>
      <c r="Q47" s="183"/>
      <c r="R47" s="183"/>
      <c r="S47" s="183"/>
      <c r="T47" s="183"/>
      <c r="U47" s="183"/>
      <c r="V47" s="183"/>
      <c r="W47" s="183"/>
      <c r="X47" s="183"/>
      <c r="Y47" s="183"/>
      <c r="Z47" s="183"/>
      <c r="AA47" s="183"/>
      <c r="AB47" s="183"/>
      <c r="AC47" s="183"/>
      <c r="AD47" s="183"/>
      <c r="AE47" s="183"/>
      <c r="AF47" s="183"/>
      <c r="AG47" s="183"/>
      <c r="AH47" s="184"/>
    </row>
    <row r="48" spans="1:35" ht="15.75" thickBot="1" x14ac:dyDescent="0.3"/>
    <row r="49" spans="1:38" ht="15.75" thickBot="1" x14ac:dyDescent="0.3">
      <c r="A49" s="207" t="s">
        <v>86</v>
      </c>
      <c r="B49" s="209" t="str">
        <f xml:space="preserve"> DEC2HEX(AH50+ AG50*2 + AF50*2^2 + AE50*2^3 + AD50*2^4 + AC50*2^5 + AB50*2^6 + AA50*2^7 + Z50*2^8 + Y50*2^9 + X50*2^10 + W50*2^11 + V50*2^12+ U50*2^13 + T50*2^14 + S50*2^15 + R50*2^16 + Q50*2^17 + P50*2^18 + O50*2^19 + N50*2^20 + M50*2^21 + L50*2^22 + K50*2^23 + J50*2^24 + I50*2^25 + H50*2^26 + G50*2^27 + F50*2^28 +  E50*2^29 +  D50*2^30 + C50*2^31,8)</f>
        <v>80000000</v>
      </c>
      <c r="C49" s="211" t="s">
        <v>86</v>
      </c>
      <c r="D49" s="212"/>
      <c r="E49" s="212"/>
      <c r="F49" s="212"/>
      <c r="G49" s="212"/>
      <c r="H49" s="212"/>
      <c r="I49" s="212"/>
      <c r="J49" s="212"/>
      <c r="K49" s="212"/>
      <c r="L49" s="212"/>
      <c r="M49" s="212"/>
      <c r="N49" s="212"/>
      <c r="O49" s="212"/>
      <c r="P49" s="212"/>
      <c r="Q49" s="212"/>
      <c r="R49" s="212"/>
      <c r="S49" s="212"/>
      <c r="T49" s="212"/>
      <c r="U49" s="212"/>
      <c r="V49" s="212"/>
      <c r="W49" s="212"/>
      <c r="X49" s="212"/>
      <c r="Y49" s="212"/>
      <c r="Z49" s="212"/>
      <c r="AA49" s="212"/>
      <c r="AB49" s="212"/>
      <c r="AC49" s="212"/>
      <c r="AD49" s="212"/>
      <c r="AE49" s="212"/>
      <c r="AF49" s="212"/>
      <c r="AG49" s="212"/>
      <c r="AH49" s="213"/>
    </row>
    <row r="50" spans="1:38" ht="15.75" thickBot="1" x14ac:dyDescent="0.3">
      <c r="A50" s="208"/>
      <c r="B50" s="210"/>
      <c r="C50" s="24">
        <f>MOD(INT(D18/2^31),2)</f>
        <v>1</v>
      </c>
      <c r="D50" s="25">
        <f>MOD(INT(D18/2^30),2)</f>
        <v>0</v>
      </c>
      <c r="E50" s="25">
        <f>MOD(INT(D18/2^29),2)</f>
        <v>0</v>
      </c>
      <c r="F50" s="25">
        <f>MOD(INT(D18/2^28),2)</f>
        <v>0</v>
      </c>
      <c r="G50" s="25">
        <f>MOD(INT(D18/2^27),2)</f>
        <v>0</v>
      </c>
      <c r="H50" s="25">
        <f>MOD(INT(D18/2^26),2)</f>
        <v>0</v>
      </c>
      <c r="I50" s="25">
        <f>MOD(INT(D18/2^25),2)</f>
        <v>0</v>
      </c>
      <c r="J50" s="25">
        <f>MOD(INT(D18/2^24),2)</f>
        <v>0</v>
      </c>
      <c r="K50" s="25">
        <f>MOD(INT(D18/2^23),2)</f>
        <v>0</v>
      </c>
      <c r="L50" s="25">
        <f>MOD(INT(D18/2^22),2)</f>
        <v>0</v>
      </c>
      <c r="M50" s="25">
        <f>MOD(INT(D18/2^21),2)</f>
        <v>0</v>
      </c>
      <c r="N50" s="25">
        <f>MOD(INT(D18/2^20),2)</f>
        <v>0</v>
      </c>
      <c r="O50" s="25">
        <f>MOD(INT(D18/2^19),2)</f>
        <v>0</v>
      </c>
      <c r="P50" s="25">
        <f>MOD(INT(D18/2^18),2)</f>
        <v>0</v>
      </c>
      <c r="Q50" s="25">
        <f>MOD(INT(D18/2^17),2)</f>
        <v>0</v>
      </c>
      <c r="R50" s="25">
        <f>MOD(INT(D18/2^16),2)</f>
        <v>0</v>
      </c>
      <c r="S50" s="25">
        <f>MOD(INT(D18/2^15),2)</f>
        <v>0</v>
      </c>
      <c r="T50" s="25">
        <f>MOD(INT(D18/2^14),2)</f>
        <v>0</v>
      </c>
      <c r="U50" s="25">
        <f>MOD(INT(D18/2^13),2)</f>
        <v>0</v>
      </c>
      <c r="V50" s="25">
        <f>MOD(INT(D18/2^12),2)</f>
        <v>0</v>
      </c>
      <c r="W50" s="25">
        <f>MOD(INT(D18/2^11),2)</f>
        <v>0</v>
      </c>
      <c r="X50" s="25">
        <f>MOD(INT(D18/2^10),2)</f>
        <v>0</v>
      </c>
      <c r="Y50" s="25">
        <f>MOD(INT(D18/2^9),2)</f>
        <v>0</v>
      </c>
      <c r="Z50" s="25">
        <f>MOD(INT(D18/2^8),2)</f>
        <v>0</v>
      </c>
      <c r="AA50" s="25">
        <f>MOD(INT(D18/2^7),2)</f>
        <v>0</v>
      </c>
      <c r="AB50" s="25">
        <f>MOD(INT(D18/2^6),2)</f>
        <v>0</v>
      </c>
      <c r="AC50" s="25">
        <f>MOD(INT(D18/2^5),2)</f>
        <v>0</v>
      </c>
      <c r="AD50" s="25">
        <f>MOD(INT(D18/2^4),2)</f>
        <v>0</v>
      </c>
      <c r="AE50" s="25">
        <f>MOD(INT(D18/2^3),2)</f>
        <v>0</v>
      </c>
      <c r="AF50" s="25">
        <f>MOD(INT(D18/2^2),2)</f>
        <v>0</v>
      </c>
      <c r="AG50" s="25">
        <f>MOD(INT(D18/2),2)</f>
        <v>0</v>
      </c>
      <c r="AH50" s="26">
        <f>MOD(D18,2)</f>
        <v>0</v>
      </c>
    </row>
    <row r="52" spans="1:38" x14ac:dyDescent="0.25">
      <c r="AI52" s="129"/>
      <c r="AJ52" s="129"/>
      <c r="AK52" s="129"/>
      <c r="AL52" s="129"/>
    </row>
    <row r="53" spans="1:38" x14ac:dyDescent="0.25">
      <c r="AI53" s="129"/>
      <c r="AJ53" s="129"/>
      <c r="AK53" s="129"/>
      <c r="AL53" s="129"/>
    </row>
    <row r="54" spans="1:38" x14ac:dyDescent="0.25">
      <c r="AI54" s="129"/>
      <c r="AJ54" s="129"/>
      <c r="AK54" s="129"/>
      <c r="AL54" s="129"/>
    </row>
    <row r="55" spans="1:38" x14ac:dyDescent="0.25">
      <c r="AI55" s="129"/>
      <c r="AJ55" s="129"/>
      <c r="AK55" s="129"/>
      <c r="AL55" s="129"/>
    </row>
    <row r="59" spans="1:38" x14ac:dyDescent="0.25">
      <c r="A59" s="32"/>
      <c r="B59" s="33"/>
      <c r="C59" s="142"/>
      <c r="D59" s="142"/>
      <c r="E59" s="142"/>
      <c r="F59" s="142"/>
      <c r="G59" s="142"/>
      <c r="H59" s="142"/>
      <c r="I59" s="142"/>
      <c r="J59" s="142"/>
      <c r="K59" s="142"/>
      <c r="L59" s="142"/>
      <c r="M59" s="142"/>
      <c r="N59" s="142"/>
      <c r="O59" s="142"/>
      <c r="P59" s="142"/>
      <c r="Q59" s="142"/>
      <c r="R59" s="142"/>
      <c r="S59" s="142"/>
      <c r="T59" s="142"/>
      <c r="U59" s="142"/>
      <c r="V59" s="142"/>
      <c r="W59" s="142"/>
      <c r="X59" s="142"/>
      <c r="Y59" s="142"/>
      <c r="Z59" s="142"/>
      <c r="AA59" s="142"/>
      <c r="AB59" s="142"/>
      <c r="AC59" s="142"/>
      <c r="AD59" s="142"/>
      <c r="AE59" s="142"/>
      <c r="AF59" s="142"/>
      <c r="AG59" s="142"/>
      <c r="AH59" s="142"/>
    </row>
    <row r="64" spans="1:38" x14ac:dyDescent="0.25">
      <c r="AI64" s="137"/>
      <c r="AJ64" s="138"/>
    </row>
  </sheetData>
  <mergeCells count="63">
    <mergeCell ref="A46:A47"/>
    <mergeCell ref="B46:B47"/>
    <mergeCell ref="C46:AH47"/>
    <mergeCell ref="K43:R43"/>
    <mergeCell ref="S43:Z43"/>
    <mergeCell ref="AA43:AH43"/>
    <mergeCell ref="AE25:AH25"/>
    <mergeCell ref="A49:A50"/>
    <mergeCell ref="B49:B50"/>
    <mergeCell ref="C49:AH49"/>
    <mergeCell ref="A25:A26"/>
    <mergeCell ref="A43:A44"/>
    <mergeCell ref="B43:B44"/>
    <mergeCell ref="C43:J44"/>
    <mergeCell ref="B25:B26"/>
    <mergeCell ref="C25:R26"/>
    <mergeCell ref="S25:V25"/>
    <mergeCell ref="W25:Z25"/>
    <mergeCell ref="AA25:AD25"/>
    <mergeCell ref="R28:V28"/>
    <mergeCell ref="W28:Z28"/>
    <mergeCell ref="AA28:AD28"/>
    <mergeCell ref="A22:A23"/>
    <mergeCell ref="B22:B23"/>
    <mergeCell ref="C22:H23"/>
    <mergeCell ref="K22:T23"/>
    <mergeCell ref="W22:Y22"/>
    <mergeCell ref="AE28:AH28"/>
    <mergeCell ref="A31:A32"/>
    <mergeCell ref="B31:B32"/>
    <mergeCell ref="C31:C32"/>
    <mergeCell ref="D31:F31"/>
    <mergeCell ref="G31:J32"/>
    <mergeCell ref="K31:R31"/>
    <mergeCell ref="A28:A29"/>
    <mergeCell ref="B28:B29"/>
    <mergeCell ref="C28:F28"/>
    <mergeCell ref="G28:H29"/>
    <mergeCell ref="I28:N28"/>
    <mergeCell ref="O28:Q29"/>
    <mergeCell ref="S31:T32"/>
    <mergeCell ref="U31:AH31"/>
    <mergeCell ref="A34:A35"/>
    <mergeCell ref="B34:B35"/>
    <mergeCell ref="C34:J35"/>
    <mergeCell ref="K34:N34"/>
    <mergeCell ref="O34:R34"/>
    <mergeCell ref="S34:V34"/>
    <mergeCell ref="W34:Z34"/>
    <mergeCell ref="AA34:AC35"/>
    <mergeCell ref="AG37:AH37"/>
    <mergeCell ref="AD34:AH34"/>
    <mergeCell ref="A37:A38"/>
    <mergeCell ref="B37:B38"/>
    <mergeCell ref="C37:AA38"/>
    <mergeCell ref="AB37:AD37"/>
    <mergeCell ref="AE37:AF38"/>
    <mergeCell ref="AF40:AH40"/>
    <mergeCell ref="AD40:AE40"/>
    <mergeCell ref="AB40:AC40"/>
    <mergeCell ref="A40:A41"/>
    <mergeCell ref="B40:B41"/>
    <mergeCell ref="C40:Z41"/>
  </mergeCells>
  <dataValidations xWindow="470" yWindow="255" count="20">
    <dataValidation allowBlank="1" showInputMessage="1" showErrorMessage="1" prompt="Enter a 16 byte aligned address ADD in such a way that the bytes from address ADD to ADD+15 can be overwritten by the controller during PHY DLL calibration. Default value used by the controller is 0x80000000 for DMC0 and 0xC0000000 for DMC1" sqref="D18"/>
    <dataValidation type="list" allowBlank="1" showInputMessage="1" showErrorMessage="1" sqref="C4:C9 C11:C15">
      <formula1>$I$5:$I$6</formula1>
    </dataValidation>
    <dataValidation type="list" allowBlank="1" showInputMessage="1" showErrorMessage="1" prompt="Enter the DDR memory size in Mega Bytes" sqref="B3">
      <formula1>$H$12:$H$17</formula1>
    </dataValidation>
    <dataValidation type="list" allowBlank="1" showInputMessage="1" showErrorMessage="1" error="Enter burst length required" sqref="B17">
      <formula1>$J$12:$J$13</formula1>
    </dataValidation>
    <dataValidation type="decimal" allowBlank="1" showInputMessage="1" showErrorMessage="1" error="The DCLK value should be between 300 MHz to 450 MHz" prompt="Enter DCLK value in MHz (between 10-200 MHz)" sqref="B2">
      <formula1>10</formula1>
      <formula2>200</formula2>
    </dataValidation>
    <dataValidation allowBlank="1" showInputMessage="1" showErrorMessage="1" prompt="Enter tRCD(min) from the LPDDR device data sheet" sqref="B4"/>
    <dataValidation allowBlank="1" showInputMessage="1" showErrorMessage="1" prompt="Enter tWTR(min) from the LPDDR device data sheet" sqref="B5"/>
    <dataValidation allowBlank="1" showInputMessage="1" showErrorMessage="1" prompt="Enter tRP(min) from the LPDDR device data sheet" sqref="B6"/>
    <dataValidation allowBlank="1" showInputMessage="1" showErrorMessage="1" prompt="Enter tRAS(min) from the LPDDR device data sheet" sqref="B7"/>
    <dataValidation allowBlank="1" showInputMessage="1" showErrorMessage="1" prompt="Enter tRC(min) from the LPDDR device data sheet" sqref="B8"/>
    <dataValidation allowBlank="1" showInputMessage="1" showErrorMessage="1" prompt="Enter tMRD(min) from the LPDDR device data sheet" sqref="B9"/>
    <dataValidation allowBlank="1" showInputMessage="1" showErrorMessage="1" prompt="Enter tREFI(max) from the LPDDR device data sheet" sqref="B10"/>
    <dataValidation allowBlank="1" showInputMessage="1" showErrorMessage="1" prompt="Enter tRFC(min) from the LPDDR device data sheet" sqref="B11"/>
    <dataValidation allowBlank="1" showInputMessage="1" showErrorMessage="1" prompt="Enter tRRD(min) from the LPDDR device data sheet" sqref="B12"/>
    <dataValidation allowBlank="1" showInputMessage="1" showErrorMessage="1" prompt="Enter tWR(min) from the LPDDR device data sheet" sqref="B13"/>
    <dataValidation allowBlank="1" showInputMessage="1" showErrorMessage="1" prompt="Enter tXP(min) from the LPDDR device data sheet" sqref="B14"/>
    <dataValidation allowBlank="1" showInputMessage="1" showErrorMessage="1" prompt="Enter tCKE(min) from the LPDDR device data sheet" sqref="B15"/>
    <dataValidation type="decimal" operator="equal" allowBlank="1" showInputMessage="1" showErrorMessage="1" error="Only CL=3 is supported" prompt="Only CL=3 is supported" sqref="B16">
      <formula1>3</formula1>
    </dataValidation>
    <dataValidation allowBlank="1" showInputMessage="1" showErrorMessage="1" prompt="Enter a 16 byte aligned unused DMC address here. Note that 16 bytes from(and including) this address shall be overwritten by the controller during initialization.  " sqref="B18"/>
    <dataValidation type="list" allowBlank="1" showInputMessage="1" showErrorMessage="1" sqref="C10">
      <formula1>$G$11:$G$12</formula1>
    </dataValidation>
  </dataValidations>
  <pageMargins left="0.7" right="0.7" top="0.75" bottom="0.75" header="0.3" footer="0.3"/>
  <pageSetup orientation="portrait" r:id="rId1"/>
  <ignoredErrors>
    <ignoredError sqref="D18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DDR3</vt:lpstr>
      <vt:lpstr>DDR2</vt:lpstr>
      <vt:lpstr>LPDDR</vt:lpstr>
    </vt:vector>
  </TitlesOfParts>
  <Company>Analog Devices,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Gath, Dhawal</dc:creator>
  <cp:lastModifiedBy>Moonat, Mitesh</cp:lastModifiedBy>
  <dcterms:created xsi:type="dcterms:W3CDTF">2015-08-11T06:20:01Z</dcterms:created>
  <dcterms:modified xsi:type="dcterms:W3CDTF">2016-07-06T11:58:30Z</dcterms:modified>
</cp:coreProperties>
</file>