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53222"/>
  <mc:AlternateContent xmlns:mc="http://schemas.openxmlformats.org/markup-compatibility/2006">
    <mc:Choice Requires="x15">
      <x15ac:absPath xmlns:x15ac="http://schemas.microsoft.com/office/spreadsheetml/2010/11/ac" url="C:\Users\jbeauch\Desktop\Apps Work\App Notes\CONSTRUCTION AREA\EE-392 - Griffin Power\"/>
    </mc:Choice>
  </mc:AlternateContent>
  <bookViews>
    <workbookView xWindow="0" yWindow="0" windowWidth="2160" windowHeight="0" tabRatio="970"/>
  </bookViews>
  <sheets>
    <sheet name="Power Estimation" sheetId="1" r:id="rId1"/>
    <sheet name="VDD_INT Maximum Static Current" sheetId="3" r:id="rId2"/>
    <sheet name="VDD_INT Typical Static Current" sheetId="4" r:id="rId3"/>
    <sheet name="Core Activity Factors" sheetId="2" r:id="rId4"/>
    <sheet name="VDD_EXT Power Domain" sheetId="10" r:id="rId5"/>
    <sheet name="VDD_DMC Power Domain" sheetId="11" r:id="rId6"/>
    <sheet name="DMA_Usage" sheetId="12" r:id="rId7"/>
    <sheet name="Accelerators" sheetId="5" r:id="rId8"/>
    <sheet name="PCIe" sheetId="9" r:id="rId9"/>
    <sheet name="MLB" sheetId="7" r:id="rId10"/>
    <sheet name="GigE" sheetId="8" r:id="rId11"/>
    <sheet name="USB" sheetId="6" r:id="rId12"/>
  </sheets>
  <externalReferences>
    <externalReference r:id="rId13"/>
    <externalReference r:id="rId14"/>
    <externalReference r:id="rId15"/>
  </externalReferences>
  <definedNames>
    <definedName name="A5_ASF">'Core Activity Factors'!$L$7:$L$12</definedName>
    <definedName name="Ac">'Core Activity Factors'!$C$6:$D$12</definedName>
    <definedName name="ActFactSH">'Core Activity Factors'!$C$6:$D$12</definedName>
    <definedName name="Activity">'Core Activity Factors'!$C$7:$D$12</definedName>
    <definedName name="ActivityF">'Core Activity Factors'!$C$6:$D$12</definedName>
    <definedName name="ActivityFactor">'Core Activity Factors'!$C$6:$D$12</definedName>
    <definedName name="ActivityFactorARM">'Core Activity Factors'!$L$7:$M$12</definedName>
    <definedName name="ActivityFactorARM0">'Core Activity Factors'!$L$7:$M$12</definedName>
    <definedName name="ActivityFactorARM1">'Core Activity Factors'!$L$6:$M$12</definedName>
    <definedName name="ActivityFactorSH">'Core Activity Factors'!$C$6:$D$12</definedName>
    <definedName name="ActivityFactorSHARC">'Core Activity Factors'!$C$7:$D$12</definedName>
    <definedName name="ActivityFactorSHARC1">'Core Activity Factors'!$C$6:$D$12</definedName>
    <definedName name="ActivityScalingFactor">'[1]Dynamic Scaling Factors'!$C$4:$D$10</definedName>
    <definedName name="ActivityScalingFactorARM">'[2]Dynamic Scaling Factors'!$C$5:$D$11</definedName>
    <definedName name="AMRAc">'Core Activity Factors'!$C$6:$D$12</definedName>
    <definedName name="asa">'[1]Supporting Tables'!$B$22:$B$23</definedName>
    <definedName name="Average_ASF">'Power Estimation'!$E$26,'Power Estimation'!$E$37,'Power Estimation'!$E$48</definedName>
    <definedName name="Burst_Mode">'VDD_DMC Power Domain'!#REF!</definedName>
    <definedName name="CHOICE">'[1]Supporting Tables'!$B$8:$B$9</definedName>
    <definedName name="ConfigSettings">'Power Estimation'!$G$9:$G$16,'Power Estimation'!$G$61,'Power Estimation'!$G$68,'Power Estimation'!$G$76:$G$80</definedName>
    <definedName name="DDR_BURST">'[1]Supporting Tables'!$C$35:$C$36</definedName>
    <definedName name="DDR2_Freq">[1]ClockSpecs!$E$7</definedName>
    <definedName name="DMA_PROFILE">DMA_Usage!$C$4:$C$6</definedName>
    <definedName name="DMAACTIVITY">DMA_Usage!#REF!</definedName>
    <definedName name="DMAPROFILE">DMA_Usage!$C$4:$C$6</definedName>
    <definedName name="FFT">'Power Estimation'!$M$20:$M$20</definedName>
    <definedName name="FFT_Activity">Accelerators!$C$3:$C$4</definedName>
    <definedName name="FFT_CLK">Accelerators!$F$3:$G$5</definedName>
    <definedName name="Freq">'[1]Dynamic Current'!$C$6:$C$14</definedName>
    <definedName name="GIGE_OPTIONS">GigE!$C$3:$C$4</definedName>
    <definedName name="GIGE_OPTIOSN">GigE!$C$3:$C$4</definedName>
    <definedName name="IDD_BASELINE_DYN">'[1]Dynamic Current'!$D$6:$J$14</definedName>
    <definedName name="IDD_DEEPSLEEP_MAX">'[1]Maximum Static Current'!$D$6:$J$17</definedName>
    <definedName name="IDD_DEEPSLEEP_TYP">'[1]Typical Static Current'!$D$6:$J$17</definedName>
    <definedName name="MLB_OPTIONS">MLB!$C$3:$C$4</definedName>
    <definedName name="PCIE_CurrentTable">PCIe!$G$5:$L$12</definedName>
    <definedName name="PCIE_OPTIONS">PCIe!$C$3:$C$4</definedName>
    <definedName name="Power_Profile" localSheetId="5">'[1]Supporting Tables'!$B$22:$B$23</definedName>
    <definedName name="Power_Profile" localSheetId="4">'[1]Supporting Tables'!$B$22:$B$23</definedName>
    <definedName name="Power_Profile">'[3]Supporting Tables'!$B$22:$B$23</definedName>
    <definedName name="PowerModes">'[1]Supporting Tables'!$B$4:$B$5</definedName>
    <definedName name="ProcessorFamily" localSheetId="5">'[1]Supporting Tables'!$B$27</definedName>
    <definedName name="ProcessorFamily" localSheetId="4">'[1]Supporting Tables'!$B$27</definedName>
    <definedName name="ProcessorFamily">'[3]Supporting Tables'!$B$27</definedName>
    <definedName name="PVP_USED">'[1]Supporting Tables'!$B$13:$C$15</definedName>
    <definedName name="ResourceUsage">'Power Estimation'!#REF!</definedName>
    <definedName name="SCLK0">[1]ClockSpecs!$E$5</definedName>
    <definedName name="SCLK1">[1]ClockSpecs!$E$6</definedName>
    <definedName name="SHARC_ASF">'Core Activity Factors'!$C$7:$C$12</definedName>
    <definedName name="SIDD_Levels">'VDD_INT Typical Static Current'!$B$94:$B$95</definedName>
    <definedName name="SYSCLK">[1]ClockSpecs!$E$4</definedName>
    <definedName name="Temperature">'VDD_INT Typical Static Current'!$E$6:$E$20</definedName>
    <definedName name="Tj_MAX">'[1]Maximum Static Current'!$C$6:$C$17</definedName>
    <definedName name="Tj_TYP">'[1]Typical Static Current'!$C$6:$C$17</definedName>
    <definedName name="USB_OPTIONS">USB!$C$3:$C$4</definedName>
    <definedName name="USB_USED">'[1]Supporting Tables'!$B$8:$D$9</definedName>
    <definedName name="USB_VDDINT">USB!$C$3:$D$6</definedName>
    <definedName name="USB_VDDUSB">USB!$H$3:$I$6</definedName>
    <definedName name="VDD_INT">'VDD_INT Typical Static Current'!$F$5:$N$5</definedName>
    <definedName name="VDDDMC_BF60x">'[1]Supporting Tables'!$D$30:$E$30</definedName>
    <definedName name="Vddint_MAX">'[1]Maximum Static Current'!$D$5:$J$5</definedName>
    <definedName name="Vddint_TYP">'[1]Typical Static Current'!$D$5:$J$5</definedName>
    <definedName name="VDDTD_BF60x">'[1]Supporting Tables'!$D$32:$E$32</definedName>
    <definedName name="VDDUSB_BF60x">'[1]Supporting Tables'!$D$31:$E$31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6" i="11" l="1"/>
  <c r="H13" i="1" l="1"/>
  <c r="H12" i="1"/>
  <c r="H11" i="1"/>
  <c r="H10" i="1"/>
  <c r="H9" i="1"/>
  <c r="J13" i="10" l="1"/>
  <c r="I13" i="10"/>
  <c r="M10" i="1"/>
  <c r="H17" i="1"/>
  <c r="N9" i="1" l="1"/>
  <c r="H16" i="1" l="1"/>
  <c r="H14" i="1"/>
  <c r="E26" i="1" l="1"/>
  <c r="H57" i="1" l="1"/>
  <c r="H76" i="1" l="1"/>
  <c r="H52" i="1"/>
  <c r="H78" i="1"/>
  <c r="H80" i="1"/>
  <c r="H79" i="1"/>
  <c r="H54" i="1"/>
  <c r="H77" i="1"/>
  <c r="H53" i="1"/>
  <c r="H15" i="1" l="1"/>
  <c r="E37" i="1" l="1"/>
  <c r="E17" i="11" l="1"/>
  <c r="E14" i="11"/>
  <c r="E15" i="11"/>
  <c r="E48" i="1" l="1"/>
  <c r="J15" i="11" l="1"/>
  <c r="K15" i="11" s="1"/>
  <c r="J16" i="11"/>
  <c r="K16" i="11" s="1"/>
  <c r="J17" i="11"/>
  <c r="J14" i="11"/>
  <c r="K14" i="11" s="1"/>
  <c r="I11" i="10"/>
  <c r="I12" i="10"/>
  <c r="J12" i="10" s="1"/>
  <c r="I14" i="10"/>
  <c r="J14" i="10" s="1"/>
  <c r="I10" i="10"/>
  <c r="J10" i="10" s="1"/>
  <c r="J11" i="10"/>
  <c r="K17" i="11" l="1"/>
  <c r="K19" i="11" s="1"/>
  <c r="H70" i="1" s="1"/>
  <c r="H69" i="1" s="1"/>
  <c r="J16" i="10"/>
  <c r="H63" i="1" s="1"/>
  <c r="H62" i="1" s="1"/>
  <c r="H56" i="1" l="1"/>
  <c r="H55" i="1"/>
  <c r="L18" i="1"/>
  <c r="H58" i="1" l="1"/>
  <c r="H18" i="1"/>
  <c r="L17" i="1" l="1"/>
  <c r="L19" i="1" s="1"/>
  <c r="M24" i="1" s="1"/>
</calcChain>
</file>

<file path=xl/sharedStrings.xml><?xml version="1.0" encoding="utf-8"?>
<sst xmlns="http://schemas.openxmlformats.org/spreadsheetml/2006/main" count="228" uniqueCount="170">
  <si>
    <t>Green cells are automatically computed</t>
  </si>
  <si>
    <t>Relevant Power Domains</t>
  </si>
  <si>
    <t>SHARC1 Core Clock Frequency (MHz)</t>
  </si>
  <si>
    <t>ARM Cortex A5 Clock Frequency (MHz)</t>
  </si>
  <si>
    <t>SYSCLK (MHz)</t>
  </si>
  <si>
    <t>SCLK0 (MHz)</t>
  </si>
  <si>
    <t>SCLK1 (MHz)</t>
  </si>
  <si>
    <t>DCLK (MHz)</t>
  </si>
  <si>
    <t>Resource Usage</t>
  </si>
  <si>
    <t>PCIe</t>
  </si>
  <si>
    <t>MLB-6 Pin</t>
  </si>
  <si>
    <t>NOT USED</t>
  </si>
  <si>
    <r>
      <t>T</t>
    </r>
    <r>
      <rPr>
        <vertAlign val="subscript"/>
        <sz val="11"/>
        <color theme="1"/>
        <rFont val="Calibri"/>
        <family val="2"/>
        <scheme val="minor"/>
      </rPr>
      <t>j</t>
    </r>
    <r>
      <rPr>
        <sz val="11"/>
        <color theme="1"/>
        <rFont val="Calibri"/>
        <family val="2"/>
        <scheme val="minor"/>
      </rPr>
      <t xml:space="preserve"> (</t>
    </r>
    <r>
      <rPr>
        <sz val="11"/>
        <color theme="1"/>
        <rFont val="Calibri"/>
        <family val="2"/>
      </rPr>
      <t>°</t>
    </r>
    <r>
      <rPr>
        <sz val="11"/>
        <color theme="1"/>
        <rFont val="Calibri"/>
        <family val="2"/>
        <scheme val="minor"/>
      </rPr>
      <t>C)</t>
    </r>
  </si>
  <si>
    <t>Operating Conditions</t>
  </si>
  <si>
    <t>Test</t>
  </si>
  <si>
    <t>Activity Factor</t>
  </si>
  <si>
    <t>Idle</t>
  </si>
  <si>
    <t>Nops</t>
  </si>
  <si>
    <t>30-70</t>
  </si>
  <si>
    <t>50-50</t>
  </si>
  <si>
    <t>100 (Peak)</t>
  </si>
  <si>
    <t>70-30 (Typical)</t>
  </si>
  <si>
    <t>Cortex A5</t>
  </si>
  <si>
    <t>SHARC0,1</t>
  </si>
  <si>
    <t>Dhrystone</t>
  </si>
  <si>
    <t>25-75</t>
  </si>
  <si>
    <t>75-25 (Typical)</t>
  </si>
  <si>
    <t>(mA)</t>
  </si>
  <si>
    <t>Contribution (mA)</t>
  </si>
  <si>
    <t>Clock Domains &amp; DMA Rates</t>
  </si>
  <si>
    <t>Dynamic Current (A1)</t>
  </si>
  <si>
    <t>Dynamic Current (A2)</t>
  </si>
  <si>
    <t>Typical</t>
  </si>
  <si>
    <t>Not Used</t>
  </si>
  <si>
    <t>Activity</t>
  </si>
  <si>
    <t xml:space="preserve">Typical </t>
  </si>
  <si>
    <t>Desired Static Power Profile</t>
  </si>
  <si>
    <t>Maximum</t>
  </si>
  <si>
    <t>Static Current (mA)</t>
  </si>
  <si>
    <t>USED</t>
  </si>
  <si>
    <t>Gigabit Ethernet</t>
  </si>
  <si>
    <t>OCLK(MHz)</t>
  </si>
  <si>
    <t>Total External Power Dissipation (mW)</t>
  </si>
  <si>
    <t>.115MHz operation</t>
  </si>
  <si>
    <t xml:space="preserve">UART0 </t>
  </si>
  <si>
    <t>4MHz operation. Only clock is output. (SCLK/2 is the maximum frequency for internally generated SPORT clock)</t>
  </si>
  <si>
    <t xml:space="preserve">SPORT1 </t>
  </si>
  <si>
    <t xml:space="preserve">SPORT0 </t>
  </si>
  <si>
    <t>Utilization (U)</t>
  </si>
  <si>
    <t>Toggle
Ratio (TR)</t>
  </si>
  <si>
    <r>
      <t>Pin Capacitance in Farads (C</t>
    </r>
    <r>
      <rPr>
        <b/>
        <vertAlign val="subscript"/>
        <sz val="10"/>
        <rFont val="Arial"/>
        <family val="2"/>
      </rPr>
      <t>L</t>
    </r>
    <r>
      <rPr>
        <b/>
        <sz val="10"/>
        <rFont val="Arial"/>
        <family val="2"/>
      </rPr>
      <t>)</t>
    </r>
  </si>
  <si>
    <t>Number of Output Pins (O)</t>
  </si>
  <si>
    <t>Frequency in Hz (f)</t>
  </si>
  <si>
    <t>Peripheral</t>
  </si>
  <si>
    <t>CLK</t>
  </si>
  <si>
    <t xml:space="preserve">CTRL </t>
  </si>
  <si>
    <t>Data pins [15:0]</t>
  </si>
  <si>
    <t>Address pins [15:0]</t>
  </si>
  <si>
    <t xml:space="preserve">DDR2 </t>
  </si>
  <si>
    <r>
      <t>Pin Capacitance in Farads (C</t>
    </r>
    <r>
      <rPr>
        <b/>
        <vertAlign val="subscript"/>
        <sz val="10"/>
        <color rgb="FFFF0000"/>
        <rFont val="Arial"/>
        <family val="2"/>
      </rPr>
      <t>L</t>
    </r>
    <r>
      <rPr>
        <b/>
        <sz val="10"/>
        <color rgb="FFFF0000"/>
        <rFont val="Arial"/>
        <family val="2"/>
      </rPr>
      <t>)</t>
    </r>
  </si>
  <si>
    <t xml:space="preserve">Note: DMC supports burst length of 4/8 words </t>
  </si>
  <si>
    <t xml:space="preserve">Burst Mode </t>
  </si>
  <si>
    <t>Voltage Domain</t>
  </si>
  <si>
    <t>Voltage (V)</t>
  </si>
  <si>
    <t>Other Domains</t>
  </si>
  <si>
    <t>Activity Mode</t>
  </si>
  <si>
    <t xml:space="preserve">Fraction of Time Spent by Application </t>
  </si>
  <si>
    <t>Average ASF</t>
  </si>
  <si>
    <t>HIGH</t>
  </si>
  <si>
    <t>MEDIUM</t>
  </si>
  <si>
    <t>LOW</t>
  </si>
  <si>
    <t>Clock_Gated</t>
  </si>
  <si>
    <t xml:space="preserve">1. 8 SPORTS @56.5MHz  in RX mode with PRI/SEC enabled (Writing Data to L2)
2. 8 SPORTS @56.5MHz in TX mode with PRI/SEC enabled  (Reading Data from L2)
3. SPI2 in Quad mode, SPI0/SPI1 in Dual mode TX operation  @56.5MHz  (Reading Data from L2) 
4. PPI 16-bit in RX mode @56.5MHz (Writing Data to L2)
5. LP TX mode @112.5MHz (Reading Data from L2)
6. 1x Low Speed MDMA transferring data from  SHARC0 L1 to DMC0  
7. 1x Medium Speed MDMA transferring data from  SHARC0 L1 to DMC0  
8. 1x High speed DMA transferring data from  SHARC1 L1 to DMC1  
</t>
  </si>
  <si>
    <t xml:space="preserve">1. 8 SPORTS @56.5MHz  in RX mode with PRI/SEC enabled (Writing Data to L2)
2. 8 SPORTS @56.5MHz in TX mode with PRI/SEC enabled  (Reading Data from L2)
3. SPI2 in Quad mode, SPI0/SPI1 in Dual mode TX operation  @56.5MHz  (Reading Data from L2) 
4. 1x Low Speed MDMA transferring data from  SHARC0 L1 to DMC0  (BW limited to 320 MBPS )
</t>
  </si>
  <si>
    <r>
      <rPr>
        <sz val="11"/>
        <color theme="1"/>
        <rFont val="Calibri"/>
        <family val="2"/>
        <scheme val="minor"/>
      </rPr>
      <t xml:space="preserve">1. 8 SPORTS @56.5MHz  in RX mode with PRI/SEC enabled (Writing Data to L2)
2. 8 SPORTS @56.5MHz in TX mode with PRI/SEC enabled  (Reading Data from L2)
3. SPI2 in Quad mode, SPI0/SPI1 in Dual mode TX operation  @56.5MHz  (Reading Data from L2) 
4. PPI 16-bit in RX mode @56.5MHz (Writing Data to L2)
5. LP TX mode @112.5MHz (Reading Data from L2)
6. 1x Low Speed MDMA transferring data from  SHARC0 L1 to DMC0  (BW limited to 370 MBPS )
7. 1x Medium Speed MDMA transferring data from  SHARC1 L1 to DMC0  </t>
    </r>
    <r>
      <rPr>
        <sz val="11"/>
        <color rgb="FFFF0000"/>
        <rFont val="Calibri"/>
        <family val="2"/>
        <scheme val="minor"/>
      </rPr>
      <t xml:space="preserve">
</t>
    </r>
  </si>
  <si>
    <t>SUSPEND-ON</t>
  </si>
  <si>
    <t>HS-MODE</t>
  </si>
  <si>
    <t>FS-MODE</t>
  </si>
  <si>
    <t>PCIe Controller</t>
  </si>
  <si>
    <t>PCIe PHY</t>
  </si>
  <si>
    <t>Mode</t>
  </si>
  <si>
    <t>Condition</t>
  </si>
  <si>
    <t>5 Gbps</t>
  </si>
  <si>
    <t>2.5 Gbps</t>
  </si>
  <si>
    <t>Power-down</t>
  </si>
  <si>
    <t>Not-Used</t>
  </si>
  <si>
    <t>P0-5GBPS</t>
  </si>
  <si>
    <t>P0-2.5GBPS</t>
  </si>
  <si>
    <t>USB0</t>
  </si>
  <si>
    <t>USB1</t>
  </si>
  <si>
    <t>DMA/Peripheral Usage</t>
  </si>
  <si>
    <t>SHARC 0/1 is idle</t>
  </si>
  <si>
    <r>
      <t>V</t>
    </r>
    <r>
      <rPr>
        <vertAlign val="subscript"/>
        <sz val="36"/>
        <color theme="1"/>
        <rFont val="Calibri"/>
        <family val="2"/>
        <scheme val="minor"/>
      </rPr>
      <t>DD_INT</t>
    </r>
  </si>
  <si>
    <r>
      <t>V</t>
    </r>
    <r>
      <rPr>
        <vertAlign val="subscript"/>
        <sz val="11"/>
        <color theme="1"/>
        <rFont val="Calibri"/>
        <family val="2"/>
        <scheme val="minor"/>
      </rPr>
      <t>DD_INT</t>
    </r>
    <r>
      <rPr>
        <sz val="11"/>
        <color theme="1"/>
        <rFont val="Calibri"/>
        <family val="2"/>
        <scheme val="minor"/>
      </rPr>
      <t xml:space="preserve"> (V)</t>
    </r>
  </si>
  <si>
    <r>
      <t>V</t>
    </r>
    <r>
      <rPr>
        <i/>
        <vertAlign val="subscript"/>
        <sz val="11"/>
        <color theme="1"/>
        <rFont val="Calibri"/>
        <family val="2"/>
        <scheme val="minor"/>
      </rPr>
      <t>DD_INT</t>
    </r>
    <r>
      <rPr>
        <i/>
        <sz val="11"/>
        <color theme="1"/>
        <rFont val="Calibri"/>
        <family val="2"/>
        <scheme val="minor"/>
      </rPr>
      <t xml:space="preserve"> Dynamic Power (W)</t>
    </r>
  </si>
  <si>
    <r>
      <t>V</t>
    </r>
    <r>
      <rPr>
        <i/>
        <vertAlign val="subscript"/>
        <sz val="11"/>
        <color theme="1"/>
        <rFont val="Calibri"/>
        <family val="2"/>
        <scheme val="minor"/>
      </rPr>
      <t>DD_INT</t>
    </r>
    <r>
      <rPr>
        <i/>
        <sz val="11"/>
        <color theme="1"/>
        <rFont val="Calibri"/>
        <family val="2"/>
        <scheme val="minor"/>
      </rPr>
      <t xml:space="preserve"> Static Power (W)</t>
    </r>
  </si>
  <si>
    <r>
      <t>Total V</t>
    </r>
    <r>
      <rPr>
        <b/>
        <vertAlign val="subscript"/>
        <sz val="11"/>
        <color theme="1"/>
        <rFont val="Calibri"/>
        <family val="2"/>
        <scheme val="minor"/>
      </rPr>
      <t>DD_INT</t>
    </r>
    <r>
      <rPr>
        <b/>
        <sz val="11"/>
        <color theme="1"/>
        <rFont val="Calibri"/>
        <family val="2"/>
        <scheme val="minor"/>
      </rPr>
      <t xml:space="preserve"> Power (W)</t>
    </r>
  </si>
  <si>
    <t>Total Estimated Chip Power (W)</t>
  </si>
  <si>
    <t>CORE0 (ARM) Average ASF</t>
  </si>
  <si>
    <t>Power (mW)</t>
  </si>
  <si>
    <r>
      <t>V</t>
    </r>
    <r>
      <rPr>
        <vertAlign val="subscript"/>
        <sz val="18"/>
        <color theme="1"/>
        <rFont val="Calibri"/>
        <family val="2"/>
        <scheme val="minor"/>
      </rPr>
      <t>DD_INT</t>
    </r>
    <r>
      <rPr>
        <sz val="18"/>
        <color theme="1"/>
        <rFont val="Calibri"/>
        <family val="2"/>
        <scheme val="minor"/>
      </rPr>
      <t>, V</t>
    </r>
    <r>
      <rPr>
        <vertAlign val="subscript"/>
        <sz val="18"/>
        <color theme="1"/>
        <rFont val="Calibri"/>
        <family val="2"/>
        <scheme val="minor"/>
      </rPr>
      <t>DD_EXT</t>
    </r>
    <r>
      <rPr>
        <sz val="18"/>
        <color theme="1"/>
        <rFont val="Calibri"/>
        <family val="2"/>
        <scheme val="minor"/>
      </rPr>
      <t>, V</t>
    </r>
    <r>
      <rPr>
        <vertAlign val="subscript"/>
        <sz val="18"/>
        <color theme="1"/>
        <rFont val="Calibri"/>
        <family val="2"/>
        <scheme val="minor"/>
      </rPr>
      <t>DD_DMC</t>
    </r>
    <r>
      <rPr>
        <sz val="18"/>
        <color theme="1"/>
        <rFont val="Calibri"/>
        <family val="2"/>
        <scheme val="minor"/>
      </rPr>
      <t>, V</t>
    </r>
    <r>
      <rPr>
        <vertAlign val="subscript"/>
        <sz val="18"/>
        <color theme="1"/>
        <rFont val="Calibri"/>
        <family val="2"/>
        <scheme val="minor"/>
      </rPr>
      <t>DD_USB</t>
    </r>
    <r>
      <rPr>
        <sz val="18"/>
        <color theme="1"/>
        <rFont val="Calibri"/>
        <family val="2"/>
        <scheme val="minor"/>
      </rPr>
      <t>, V</t>
    </r>
    <r>
      <rPr>
        <vertAlign val="subscript"/>
        <sz val="18"/>
        <color theme="1"/>
        <rFont val="Calibri"/>
        <family val="2"/>
        <scheme val="minor"/>
      </rPr>
      <t>DD_PCIE</t>
    </r>
    <r>
      <rPr>
        <sz val="18"/>
        <color theme="1"/>
        <rFont val="Calibri"/>
        <family val="2"/>
        <scheme val="minor"/>
      </rPr>
      <t>, V</t>
    </r>
    <r>
      <rPr>
        <vertAlign val="subscript"/>
        <sz val="18"/>
        <color theme="1"/>
        <rFont val="Calibri"/>
        <family val="2"/>
        <scheme val="minor"/>
      </rPr>
      <t>DD_PCIE_TX</t>
    </r>
    <r>
      <rPr>
        <sz val="18"/>
        <color theme="1"/>
        <rFont val="Calibri"/>
        <family val="2"/>
        <scheme val="minor"/>
      </rPr>
      <t>, V</t>
    </r>
    <r>
      <rPr>
        <vertAlign val="subscript"/>
        <sz val="18"/>
        <color theme="1"/>
        <rFont val="Calibri"/>
        <family val="2"/>
        <scheme val="minor"/>
      </rPr>
      <t>DD_PCIE_RX</t>
    </r>
  </si>
  <si>
    <r>
      <t>I</t>
    </r>
    <r>
      <rPr>
        <vertAlign val="subscript"/>
        <sz val="11"/>
        <color theme="1"/>
        <rFont val="Calibri"/>
        <family val="2"/>
        <scheme val="minor"/>
      </rPr>
      <t>DD_PCIE</t>
    </r>
    <r>
      <rPr>
        <sz val="11"/>
        <color theme="1"/>
        <rFont val="Calibri"/>
        <family val="2"/>
        <scheme val="minor"/>
      </rPr>
      <t xml:space="preserve"> with                V</t>
    </r>
    <r>
      <rPr>
        <vertAlign val="subscript"/>
        <sz val="11"/>
        <color theme="1"/>
        <rFont val="Calibri"/>
        <family val="2"/>
        <scheme val="minor"/>
      </rPr>
      <t>DD_PCIE</t>
    </r>
    <r>
      <rPr>
        <sz val="11"/>
        <color theme="1"/>
        <rFont val="Calibri"/>
        <family val="2"/>
        <scheme val="minor"/>
      </rPr>
      <t>=</t>
    </r>
    <r>
      <rPr>
        <b/>
        <sz val="11"/>
        <color rgb="FF00B050"/>
        <rFont val="Calibri"/>
        <family val="2"/>
        <scheme val="minor"/>
      </rPr>
      <t>3.3 V</t>
    </r>
    <r>
      <rPr>
        <sz val="11"/>
        <color theme="1"/>
        <rFont val="Calibri"/>
        <family val="2"/>
        <scheme val="minor"/>
      </rPr>
      <t xml:space="preserve"> (mA)</t>
    </r>
  </si>
  <si>
    <t>This is an example use-case and is aggressive on the utilization numbers, but more realistic on frequencies and pin directions.</t>
  </si>
  <si>
    <t>Notes</t>
  </si>
  <si>
    <t>Yellow cells require system-dependent user input</t>
  </si>
  <si>
    <t>Approx. Bandwidth (MBPS)</t>
  </si>
  <si>
    <t>DMA Profile</t>
  </si>
  <si>
    <r>
      <t>I</t>
    </r>
    <r>
      <rPr>
        <b/>
        <vertAlign val="subscript"/>
        <sz val="11"/>
        <color theme="1"/>
        <rFont val="Calibri"/>
        <family val="2"/>
        <scheme val="minor"/>
      </rPr>
      <t>DDINT_DMA_DR_DYN</t>
    </r>
    <r>
      <rPr>
        <b/>
        <sz val="11"/>
        <color theme="1"/>
        <rFont val="Calibri"/>
        <family val="2"/>
        <scheme val="minor"/>
      </rPr>
      <t xml:space="preserve"> Current (mA)</t>
    </r>
  </si>
  <si>
    <r>
      <rPr>
        <b/>
        <i/>
        <sz val="14"/>
        <color theme="1"/>
        <rFont val="Calibri"/>
        <family val="2"/>
        <scheme val="minor"/>
      </rPr>
      <t>ALL</t>
    </r>
    <r>
      <rPr>
        <sz val="14"/>
        <color theme="1"/>
        <rFont val="Calibri"/>
        <family val="2"/>
        <scheme val="minor"/>
      </rPr>
      <t xml:space="preserve"> yellow cells require application-specific user input</t>
    </r>
  </si>
  <si>
    <t>Estimating Power for ADSP-SC58x Processors</t>
  </si>
  <si>
    <t>SHARC ASF Vector Definitions</t>
  </si>
  <si>
    <r>
      <t>I</t>
    </r>
    <r>
      <rPr>
        <vertAlign val="subscript"/>
        <sz val="14"/>
        <color theme="1"/>
        <rFont val="Calibri"/>
        <family val="2"/>
        <scheme val="minor"/>
      </rPr>
      <t>DD-IDLE</t>
    </r>
  </si>
  <si>
    <r>
      <t>I</t>
    </r>
    <r>
      <rPr>
        <vertAlign val="subscript"/>
        <sz val="14"/>
        <color theme="1"/>
        <rFont val="Calibri"/>
        <family val="2"/>
        <scheme val="minor"/>
      </rPr>
      <t>DD-NOP</t>
    </r>
  </si>
  <si>
    <r>
      <t>I</t>
    </r>
    <r>
      <rPr>
        <vertAlign val="subscript"/>
        <sz val="14"/>
        <color theme="1"/>
        <rFont val="Calibri"/>
        <family val="2"/>
        <scheme val="minor"/>
      </rPr>
      <t>DD-TYP_3070</t>
    </r>
  </si>
  <si>
    <r>
      <t>I</t>
    </r>
    <r>
      <rPr>
        <vertAlign val="subscript"/>
        <sz val="14"/>
        <color theme="1"/>
        <rFont val="Calibri"/>
        <family val="2"/>
        <scheme val="minor"/>
      </rPr>
      <t>DD-TYP_5050</t>
    </r>
  </si>
  <si>
    <r>
      <t>I</t>
    </r>
    <r>
      <rPr>
        <vertAlign val="subscript"/>
        <sz val="14"/>
        <color theme="1"/>
        <rFont val="Calibri"/>
        <family val="2"/>
        <scheme val="minor"/>
      </rPr>
      <t>DD-TYP_7030</t>
    </r>
  </si>
  <si>
    <r>
      <t>I</t>
    </r>
    <r>
      <rPr>
        <vertAlign val="subscript"/>
        <sz val="14"/>
        <color theme="1"/>
        <rFont val="Calibri"/>
        <family val="2"/>
        <scheme val="minor"/>
      </rPr>
      <t>DD-PEAK_100</t>
    </r>
  </si>
  <si>
    <t>SHARC 0/1 executes NOPs only</t>
  </si>
  <si>
    <t>SHARC0/1 executes floating point multiplication, addition, subtraction and store instructions 30% of the time  (70% NOPs)</t>
  </si>
  <si>
    <t>SHARC0/1 executes floating point multiplication, addition, subtraction and store instructions 50% of the time  (50% NOPs)</t>
  </si>
  <si>
    <t>SHARC0/1 executes floating point multiplication, addition, subtraction and store instructions 70% of the time  (30% NOPs)</t>
  </si>
  <si>
    <t xml:space="preserve">SHARC0/1 executes floating point multiplication, addition, subtraction and store instructions 100% of the time </t>
  </si>
  <si>
    <t>Green cells are automatically populated/computed</t>
  </si>
  <si>
    <t>Utilization Factor    (U)</t>
  </si>
  <si>
    <r>
      <t>V</t>
    </r>
    <r>
      <rPr>
        <b/>
        <vertAlign val="subscript"/>
        <sz val="10"/>
        <rFont val="Arial"/>
        <family val="2"/>
      </rPr>
      <t>DD_EXT</t>
    </r>
    <r>
      <rPr>
        <b/>
        <sz val="10"/>
        <rFont val="Arial"/>
        <family val="2"/>
      </rPr>
      <t xml:space="preserve">    (V)</t>
    </r>
  </si>
  <si>
    <r>
      <t>P</t>
    </r>
    <r>
      <rPr>
        <b/>
        <vertAlign val="subscript"/>
        <sz val="10"/>
        <rFont val="Arial"/>
        <family val="2"/>
      </rPr>
      <t>DD_EXT</t>
    </r>
    <r>
      <rPr>
        <b/>
        <sz val="10"/>
        <rFont val="Arial"/>
        <family val="2"/>
      </rPr>
      <t xml:space="preserve">       (mW)</t>
    </r>
  </si>
  <si>
    <t>This example use case is aggressive on the utilization numbers but more realistic on frequencies and pin directions.</t>
  </si>
  <si>
    <t>DCLK_FREQ operation;Worst case execution --&gt; State of pin changes once every cycle (togle ratio:0.5)</t>
  </si>
  <si>
    <t>2x DCLK_FREQ operation, Assume DDR configured for write operation;Worst case execution --&gt; State of pin changes once every cycle  (togle ratio:0.5)</t>
  </si>
  <si>
    <t>DCLK_FREQ/Burst Mode operation,Assume DDR configured for write operation; Worst case execution --&gt; State of pin changes once every cycle (togle ratio:0.5)</t>
  </si>
  <si>
    <t>DCLK_FREQ operation;Clk and the differnetial clock signal ;Worst case execution --&gt; State of pin changes once every cycle (togle ratio:0.5)</t>
  </si>
  <si>
    <r>
      <t>P</t>
    </r>
    <r>
      <rPr>
        <vertAlign val="subscript"/>
        <sz val="12"/>
        <color indexed="18"/>
        <rFont val="Courier New"/>
        <family val="3"/>
      </rPr>
      <t>DD_DMC</t>
    </r>
    <r>
      <rPr>
        <sz val="12"/>
        <color indexed="18"/>
        <rFont val="Courier New"/>
        <family val="3"/>
      </rPr>
      <t xml:space="preserve"> = [(V</t>
    </r>
    <r>
      <rPr>
        <vertAlign val="subscript"/>
        <sz val="12"/>
        <color indexed="18"/>
        <rFont val="Courier New"/>
        <family val="3"/>
      </rPr>
      <t>DD_DMC</t>
    </r>
    <r>
      <rPr>
        <sz val="12"/>
        <color indexed="18"/>
        <rFont val="Courier New"/>
        <family val="3"/>
      </rPr>
      <t>)</t>
    </r>
    <r>
      <rPr>
        <vertAlign val="superscript"/>
        <sz val="12"/>
        <color indexed="18"/>
        <rFont val="Courier New"/>
        <family val="3"/>
      </rPr>
      <t>2</t>
    </r>
    <r>
      <rPr>
        <sz val="12"/>
        <color indexed="18"/>
        <rFont val="Courier New"/>
        <family val="3"/>
      </rPr>
      <t xml:space="preserve"> * C</t>
    </r>
    <r>
      <rPr>
        <vertAlign val="subscript"/>
        <sz val="12"/>
        <color indexed="18"/>
        <rFont val="Courier New"/>
        <family val="3"/>
      </rPr>
      <t>L</t>
    </r>
    <r>
      <rPr>
        <sz val="12"/>
        <color indexed="18"/>
        <rFont val="Courier New"/>
        <family val="3"/>
      </rPr>
      <t xml:space="preserve"> * f/2 * (O*TR) * U * 1000]  mW</t>
    </r>
  </si>
  <si>
    <r>
      <t>P</t>
    </r>
    <r>
      <rPr>
        <vertAlign val="subscript"/>
        <sz val="12"/>
        <color indexed="18"/>
        <rFont val="Courier New"/>
        <family val="3"/>
      </rPr>
      <t>DDEXT</t>
    </r>
    <r>
      <rPr>
        <sz val="12"/>
        <color indexed="18"/>
        <rFont val="Courier New"/>
        <family val="3"/>
      </rPr>
      <t xml:space="preserve"> = [(V</t>
    </r>
    <r>
      <rPr>
        <vertAlign val="subscript"/>
        <sz val="12"/>
        <color indexed="18"/>
        <rFont val="Courier New"/>
        <family val="3"/>
      </rPr>
      <t>DDEXT</t>
    </r>
    <r>
      <rPr>
        <sz val="12"/>
        <color indexed="18"/>
        <rFont val="Courier New"/>
        <family val="3"/>
      </rPr>
      <t>)</t>
    </r>
    <r>
      <rPr>
        <vertAlign val="superscript"/>
        <sz val="12"/>
        <color indexed="18"/>
        <rFont val="Courier New"/>
        <family val="3"/>
      </rPr>
      <t>2</t>
    </r>
    <r>
      <rPr>
        <sz val="12"/>
        <color indexed="18"/>
        <rFont val="Courier New"/>
        <family val="3"/>
      </rPr>
      <t xml:space="preserve"> * C</t>
    </r>
    <r>
      <rPr>
        <vertAlign val="subscript"/>
        <sz val="12"/>
        <color indexed="18"/>
        <rFont val="Courier New"/>
        <family val="3"/>
      </rPr>
      <t>L</t>
    </r>
    <r>
      <rPr>
        <sz val="12"/>
        <color indexed="18"/>
        <rFont val="Courier New"/>
        <family val="3"/>
      </rPr>
      <t xml:space="preserve"> * f/2 * (O*TR) * U * 1000] mW</t>
    </r>
  </si>
  <si>
    <r>
      <t>I</t>
    </r>
    <r>
      <rPr>
        <vertAlign val="subscript"/>
        <sz val="11"/>
        <color theme="1"/>
        <rFont val="Calibri"/>
        <family val="2"/>
        <scheme val="minor"/>
      </rPr>
      <t>DD_PCIE_RX</t>
    </r>
    <r>
      <rPr>
        <sz val="11"/>
        <color theme="1"/>
        <rFont val="Calibri"/>
        <family val="2"/>
        <scheme val="minor"/>
      </rPr>
      <t xml:space="preserve"> with   V</t>
    </r>
    <r>
      <rPr>
        <vertAlign val="subscript"/>
        <sz val="11"/>
        <color theme="1"/>
        <rFont val="Calibri"/>
        <family val="2"/>
        <scheme val="minor"/>
      </rPr>
      <t>DD_PCIE_RX</t>
    </r>
    <r>
      <rPr>
        <sz val="11"/>
        <color theme="1"/>
        <rFont val="Calibri"/>
        <family val="2"/>
        <scheme val="minor"/>
      </rPr>
      <t>=</t>
    </r>
    <r>
      <rPr>
        <b/>
        <sz val="11"/>
        <color rgb="FF00B050"/>
        <rFont val="Calibri"/>
        <family val="2"/>
        <scheme val="minor"/>
      </rPr>
      <t>1.1 V</t>
    </r>
    <r>
      <rPr>
        <sz val="11"/>
        <color theme="1"/>
        <rFont val="Calibri"/>
        <family val="2"/>
        <scheme val="minor"/>
      </rPr>
      <t xml:space="preserve"> (mA)</t>
    </r>
  </si>
  <si>
    <r>
      <t>I</t>
    </r>
    <r>
      <rPr>
        <vertAlign val="subscript"/>
        <sz val="11"/>
        <color theme="1"/>
        <rFont val="Calibri"/>
        <family val="2"/>
        <scheme val="minor"/>
      </rPr>
      <t>DD_PCIE_TX</t>
    </r>
    <r>
      <rPr>
        <sz val="11"/>
        <color theme="1"/>
        <rFont val="Calibri"/>
        <family val="2"/>
        <scheme val="minor"/>
      </rPr>
      <t xml:space="preserve"> with   V</t>
    </r>
    <r>
      <rPr>
        <vertAlign val="subscript"/>
        <sz val="11"/>
        <color theme="1"/>
        <rFont val="Calibri"/>
        <family val="2"/>
        <scheme val="minor"/>
      </rPr>
      <t>DD_PCIE_TX</t>
    </r>
    <r>
      <rPr>
        <sz val="11"/>
        <color theme="1"/>
        <rFont val="Calibri"/>
        <family val="2"/>
        <scheme val="minor"/>
      </rPr>
      <t>=</t>
    </r>
    <r>
      <rPr>
        <b/>
        <sz val="11"/>
        <color rgb="FF00B050"/>
        <rFont val="Calibri"/>
        <family val="2"/>
        <scheme val="minor"/>
      </rPr>
      <t>1.1 V</t>
    </r>
    <r>
      <rPr>
        <sz val="11"/>
        <color theme="1"/>
        <rFont val="Calibri"/>
        <family val="2"/>
        <scheme val="minor"/>
      </rPr>
      <t xml:space="preserve"> (mA)</t>
    </r>
  </si>
  <si>
    <r>
      <t>V</t>
    </r>
    <r>
      <rPr>
        <vertAlign val="subscript"/>
        <sz val="24"/>
        <color theme="1"/>
        <rFont val="Calibri"/>
        <family val="2"/>
        <scheme val="minor"/>
      </rPr>
      <t>DD_EXT</t>
    </r>
  </si>
  <si>
    <r>
      <t>V</t>
    </r>
    <r>
      <rPr>
        <vertAlign val="subscript"/>
        <sz val="22"/>
        <color theme="1"/>
        <rFont val="Calibri"/>
        <family val="2"/>
        <scheme val="minor"/>
      </rPr>
      <t>DD_DMC</t>
    </r>
  </si>
  <si>
    <r>
      <t>I</t>
    </r>
    <r>
      <rPr>
        <vertAlign val="subscript"/>
        <sz val="11"/>
        <color theme="1"/>
        <rFont val="Calibri"/>
        <family val="2"/>
        <scheme val="minor"/>
      </rPr>
      <t>DD_EXT</t>
    </r>
    <r>
      <rPr>
        <sz val="11"/>
        <color theme="1"/>
        <rFont val="Calibri"/>
        <family val="2"/>
        <scheme val="minor"/>
      </rPr>
      <t xml:space="preserve"> (mA)</t>
    </r>
  </si>
  <si>
    <r>
      <t>V</t>
    </r>
    <r>
      <rPr>
        <vertAlign val="subscript"/>
        <sz val="11"/>
        <color theme="1"/>
        <rFont val="Calibri"/>
        <family val="2"/>
        <scheme val="minor"/>
      </rPr>
      <t>DD_EXT</t>
    </r>
    <r>
      <rPr>
        <sz val="11"/>
        <color theme="1"/>
        <rFont val="Calibri"/>
        <family val="2"/>
        <scheme val="minor"/>
      </rPr>
      <t xml:space="preserve"> (V)</t>
    </r>
  </si>
  <si>
    <r>
      <t>P</t>
    </r>
    <r>
      <rPr>
        <vertAlign val="subscript"/>
        <sz val="11"/>
        <color theme="1"/>
        <rFont val="Calibri"/>
        <family val="2"/>
        <scheme val="minor"/>
      </rPr>
      <t>DD_EXT</t>
    </r>
    <r>
      <rPr>
        <sz val="11"/>
        <color theme="1"/>
        <rFont val="Calibri"/>
        <family val="2"/>
        <scheme val="minor"/>
      </rPr>
      <t xml:space="preserve"> (W)</t>
    </r>
  </si>
  <si>
    <r>
      <t>V</t>
    </r>
    <r>
      <rPr>
        <vertAlign val="subscript"/>
        <sz val="11"/>
        <color theme="1"/>
        <rFont val="Calibri"/>
        <family val="2"/>
        <scheme val="minor"/>
      </rPr>
      <t>DD_DMC</t>
    </r>
    <r>
      <rPr>
        <sz val="11"/>
        <color theme="1"/>
        <rFont val="Calibri"/>
        <family val="2"/>
        <scheme val="minor"/>
      </rPr>
      <t xml:space="preserve"> (V)</t>
    </r>
  </si>
  <si>
    <r>
      <t>I</t>
    </r>
    <r>
      <rPr>
        <vertAlign val="subscript"/>
        <sz val="11"/>
        <color theme="1"/>
        <rFont val="Calibri"/>
        <family val="2"/>
        <scheme val="minor"/>
      </rPr>
      <t>DD_DMC</t>
    </r>
    <r>
      <rPr>
        <sz val="11"/>
        <color theme="1"/>
        <rFont val="Calibri"/>
        <family val="2"/>
        <scheme val="minor"/>
      </rPr>
      <t xml:space="preserve"> (mA)</t>
    </r>
  </si>
  <si>
    <r>
      <t>P</t>
    </r>
    <r>
      <rPr>
        <vertAlign val="subscript"/>
        <sz val="11"/>
        <color theme="1"/>
        <rFont val="Calibri"/>
        <family val="2"/>
        <scheme val="minor"/>
      </rPr>
      <t>DD_DMC</t>
    </r>
    <r>
      <rPr>
        <sz val="11"/>
        <color theme="1"/>
        <rFont val="Calibri"/>
        <family val="2"/>
        <scheme val="minor"/>
      </rPr>
      <t xml:space="preserve"> (W)</t>
    </r>
  </si>
  <si>
    <r>
      <t>V</t>
    </r>
    <r>
      <rPr>
        <vertAlign val="subscript"/>
        <sz val="11"/>
        <color theme="1"/>
        <rFont val="Calibri"/>
        <family val="2"/>
        <scheme val="minor"/>
      </rPr>
      <t>DD_USB</t>
    </r>
    <r>
      <rPr>
        <sz val="11"/>
        <color theme="1"/>
        <rFont val="Calibri"/>
        <family val="2"/>
        <scheme val="minor"/>
      </rPr>
      <t xml:space="preserve">  (USB0)</t>
    </r>
  </si>
  <si>
    <r>
      <t>V</t>
    </r>
    <r>
      <rPr>
        <vertAlign val="subscript"/>
        <sz val="11"/>
        <color theme="1"/>
        <rFont val="Calibri"/>
        <family val="2"/>
        <scheme val="minor"/>
      </rPr>
      <t>DD_USB</t>
    </r>
    <r>
      <rPr>
        <sz val="11"/>
        <color theme="1"/>
        <rFont val="Calibri"/>
        <family val="2"/>
        <scheme val="minor"/>
      </rPr>
      <t xml:space="preserve">  (USB1)</t>
    </r>
  </si>
  <si>
    <r>
      <t>V</t>
    </r>
    <r>
      <rPr>
        <vertAlign val="subscript"/>
        <sz val="11"/>
        <color theme="1"/>
        <rFont val="Calibri"/>
        <family val="2"/>
        <scheme val="minor"/>
      </rPr>
      <t>DD_PCIE</t>
    </r>
    <r>
      <rPr>
        <sz val="11"/>
        <color theme="1"/>
        <rFont val="Calibri"/>
        <family val="2"/>
        <scheme val="minor"/>
      </rPr>
      <t xml:space="preserve"> </t>
    </r>
  </si>
  <si>
    <r>
      <t>V</t>
    </r>
    <r>
      <rPr>
        <vertAlign val="subscript"/>
        <sz val="11"/>
        <color theme="1"/>
        <rFont val="Calibri"/>
        <family val="2"/>
        <scheme val="minor"/>
      </rPr>
      <t>DD_PCIE_TX</t>
    </r>
    <r>
      <rPr>
        <sz val="11"/>
        <color theme="1"/>
        <rFont val="Calibri"/>
        <family val="2"/>
        <scheme val="minor"/>
      </rPr>
      <t xml:space="preserve"> </t>
    </r>
  </si>
  <si>
    <r>
      <t>V</t>
    </r>
    <r>
      <rPr>
        <vertAlign val="subscript"/>
        <sz val="11"/>
        <color theme="1"/>
        <rFont val="Calibri"/>
        <family val="2"/>
        <scheme val="minor"/>
      </rPr>
      <t>DD_PCIE_RX</t>
    </r>
    <r>
      <rPr>
        <sz val="11"/>
        <color theme="1"/>
        <rFont val="Calibri"/>
        <family val="2"/>
        <scheme val="minor"/>
      </rPr>
      <t xml:space="preserve"> </t>
    </r>
  </si>
  <si>
    <t>USB Mode</t>
  </si>
  <si>
    <r>
      <t>I</t>
    </r>
    <r>
      <rPr>
        <b/>
        <vertAlign val="subscript"/>
        <sz val="11"/>
        <color theme="1"/>
        <rFont val="Calibri"/>
        <family val="2"/>
        <scheme val="minor"/>
      </rPr>
      <t xml:space="preserve">DD_USB  </t>
    </r>
    <r>
      <rPr>
        <b/>
        <sz val="11"/>
        <color theme="1"/>
        <rFont val="Calibri"/>
        <family val="2"/>
        <scheme val="minor"/>
      </rPr>
      <t xml:space="preserve"> (mA)</t>
    </r>
  </si>
  <si>
    <r>
      <t>I</t>
    </r>
    <r>
      <rPr>
        <b/>
        <vertAlign val="subscript"/>
        <sz val="11"/>
        <color theme="1"/>
        <rFont val="Calibri"/>
        <family val="2"/>
        <scheme val="minor"/>
      </rPr>
      <t>DD_INT_USB_DYN</t>
    </r>
    <r>
      <rPr>
        <b/>
        <sz val="11"/>
        <color theme="1"/>
        <rFont val="Calibri"/>
        <family val="2"/>
        <scheme val="minor"/>
      </rPr>
      <t xml:space="preserve"> (mA)</t>
    </r>
  </si>
  <si>
    <t>GigE Used?</t>
  </si>
  <si>
    <r>
      <t>I</t>
    </r>
    <r>
      <rPr>
        <b/>
        <vertAlign val="subscript"/>
        <sz val="11"/>
        <color theme="1"/>
        <rFont val="Calibri"/>
        <family val="2"/>
        <scheme val="minor"/>
      </rPr>
      <t>DD_INT_GIGE_DYN</t>
    </r>
    <r>
      <rPr>
        <b/>
        <sz val="11"/>
        <color theme="1"/>
        <rFont val="Calibri"/>
        <family val="2"/>
        <scheme val="minor"/>
      </rPr>
      <t xml:space="preserve"> (mA)</t>
    </r>
  </si>
  <si>
    <t>MLB Used?</t>
  </si>
  <si>
    <r>
      <t>I</t>
    </r>
    <r>
      <rPr>
        <b/>
        <vertAlign val="subscript"/>
        <sz val="11"/>
        <color theme="1"/>
        <rFont val="Calibri"/>
        <family val="2"/>
        <scheme val="minor"/>
      </rPr>
      <t>DD_INT_MLB_DYN</t>
    </r>
    <r>
      <rPr>
        <b/>
        <sz val="11"/>
        <color theme="1"/>
        <rFont val="Calibri"/>
        <family val="2"/>
        <scheme val="minor"/>
      </rPr>
      <t xml:space="preserve"> (mA)</t>
    </r>
  </si>
  <si>
    <r>
      <t>I</t>
    </r>
    <r>
      <rPr>
        <vertAlign val="subscript"/>
        <sz val="11"/>
        <color theme="1"/>
        <rFont val="Calibri"/>
        <family val="2"/>
        <scheme val="minor"/>
      </rPr>
      <t>DD_INT_PCIE_DYN</t>
    </r>
    <r>
      <rPr>
        <sz val="11"/>
        <color theme="1"/>
        <rFont val="Calibri"/>
        <family val="2"/>
        <scheme val="minor"/>
      </rPr>
      <t xml:space="preserve"> with V</t>
    </r>
    <r>
      <rPr>
        <vertAlign val="subscript"/>
        <sz val="11"/>
        <color theme="1"/>
        <rFont val="Calibri"/>
        <family val="2"/>
        <scheme val="minor"/>
      </rPr>
      <t>DD_INT</t>
    </r>
    <r>
      <rPr>
        <sz val="11"/>
        <color theme="1"/>
        <rFont val="Calibri"/>
        <family val="2"/>
        <scheme val="minor"/>
      </rPr>
      <t>=</t>
    </r>
    <r>
      <rPr>
        <b/>
        <sz val="11"/>
        <color rgb="FF00B050"/>
        <rFont val="Calibri"/>
        <family val="2"/>
        <scheme val="minor"/>
      </rPr>
      <t>1.1 V</t>
    </r>
    <r>
      <rPr>
        <sz val="11"/>
        <color theme="1"/>
        <rFont val="Calibri"/>
        <family val="2"/>
        <scheme val="minor"/>
      </rPr>
      <t xml:space="preserve"> (mA)</t>
    </r>
  </si>
  <si>
    <t>Accelerators</t>
  </si>
  <si>
    <t>Scale Factor</t>
  </si>
  <si>
    <t>Link Port</t>
  </si>
  <si>
    <t>56.5MHz operation, 8-bit data (8 pins @ 0.5 toggle ratio), internal clock generation (1 pin @ 1 toggle ratio) ==&gt; TR = 0.55.  LP is host ==&gt; always driving (utilization = 1.0)</t>
  </si>
  <si>
    <t>SPI0</t>
  </si>
  <si>
    <t>12 MHz operation. SPI is master in dual-I/O mode ==&gt; 1 clock and 2 data outputs</t>
  </si>
  <si>
    <t>Total DDR Power Dissipation (mW)</t>
  </si>
  <si>
    <r>
      <t>V</t>
    </r>
    <r>
      <rPr>
        <b/>
        <vertAlign val="subscript"/>
        <sz val="10"/>
        <rFont val="Arial"/>
        <family val="2"/>
      </rPr>
      <t>DD_DMC</t>
    </r>
    <r>
      <rPr>
        <b/>
        <sz val="10"/>
        <rFont val="Arial"/>
        <family val="2"/>
      </rPr>
      <t xml:space="preserve"> (V)</t>
    </r>
  </si>
  <si>
    <r>
      <t>P</t>
    </r>
    <r>
      <rPr>
        <b/>
        <vertAlign val="subscript"/>
        <sz val="10"/>
        <rFont val="Arial"/>
        <family val="2"/>
      </rPr>
      <t>DD_DMC</t>
    </r>
    <r>
      <rPr>
        <b/>
        <sz val="10"/>
        <rFont val="Arial"/>
        <family val="2"/>
      </rPr>
      <t xml:space="preserve"> (mW)</t>
    </r>
  </si>
  <si>
    <r>
      <t>T</t>
    </r>
    <r>
      <rPr>
        <b/>
        <vertAlign val="subscript"/>
        <sz val="11"/>
        <color theme="1"/>
        <rFont val="Calibri"/>
        <family val="2"/>
        <scheme val="minor"/>
      </rPr>
      <t>J</t>
    </r>
    <r>
      <rPr>
        <b/>
        <sz val="11"/>
        <color theme="1"/>
        <rFont val="Calibri"/>
        <family val="2"/>
        <scheme val="minor"/>
      </rPr>
      <t xml:space="preserve"> (</t>
    </r>
    <r>
      <rPr>
        <b/>
        <sz val="11"/>
        <color theme="1"/>
        <rFont val="Calibri"/>
        <family val="2"/>
      </rPr>
      <t>°</t>
    </r>
    <r>
      <rPr>
        <b/>
        <sz val="11"/>
        <color theme="1"/>
        <rFont val="Calibri"/>
        <family val="2"/>
        <scheme val="minor"/>
      </rPr>
      <t>C)</t>
    </r>
  </si>
  <si>
    <r>
      <t>V</t>
    </r>
    <r>
      <rPr>
        <b/>
        <vertAlign val="subscript"/>
        <sz val="11"/>
        <color theme="1"/>
        <rFont val="Calibri"/>
        <family val="2"/>
        <scheme val="minor"/>
      </rPr>
      <t>DD_INT</t>
    </r>
    <r>
      <rPr>
        <b/>
        <sz val="11"/>
        <color theme="1"/>
        <rFont val="Calibri"/>
        <family val="2"/>
        <scheme val="minor"/>
      </rPr>
      <t xml:space="preserve"> (V)</t>
    </r>
  </si>
  <si>
    <t>SHARC2 Core Clock Frequency (MHz)</t>
  </si>
  <si>
    <t>CORE1 (SHARC1) Average ASF</t>
  </si>
  <si>
    <t>CORE2 (SHARC2) Average ASF</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</si>
</sst>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000"/>
    <numFmt numFmtId="166" formatCode="0.00000"/>
  </numFmts>
  <fonts count="39" x14ac:knownFonts="1">
    <font>
      <sz val="11"/>
      <color theme="1"/>
      <name val="Calibri"/>
      <family val="2"/>
      <scheme val="minor"/>
    </font>
    <font>
      <b/>
      <sz val="11"/>
      <color theme="1"/>
      <name val="Calibri"/>
      <family val="2"/>
      <scheme val="minor"/>
    </font>
    <font>
      <b/>
      <sz val="20"/>
      <color theme="1"/>
      <name val="Calibri"/>
      <family val="2"/>
      <scheme val="minor"/>
    </font>
    <font>
      <sz val="20"/>
      <color theme="1"/>
      <name val="Calibri"/>
      <family val="2"/>
      <scheme val="minor"/>
    </font>
    <font>
      <sz val="14"/>
      <color theme="1"/>
      <name val="Calibri"/>
      <family val="2"/>
      <scheme val="minor"/>
    </font>
    <font>
      <sz val="11"/>
      <color theme="1"/>
      <name val="Calibri"/>
      <family val="2"/>
    </font>
    <font>
      <vertAlign val="subscript"/>
      <sz val="11"/>
      <color theme="1"/>
      <name val="Calibri"/>
      <family val="2"/>
      <scheme val="minor"/>
    </font>
    <font>
      <b/>
      <vertAlign val="subscript"/>
      <sz val="11"/>
      <color theme="1"/>
      <name val="Calibri"/>
      <family val="2"/>
      <scheme val="minor"/>
    </font>
    <font>
      <b/>
      <sz val="11"/>
      <color theme="1"/>
      <name val="Calibri"/>
      <family val="2"/>
    </font>
    <font>
      <i/>
      <sz val="11"/>
      <color theme="1"/>
      <name val="Calibri"/>
      <family val="2"/>
      <scheme val="minor"/>
    </font>
    <font>
      <b/>
      <sz val="14"/>
      <color rgb="FFFF0000"/>
      <name val="Calibri"/>
      <family val="2"/>
      <scheme val="minor"/>
    </font>
    <font>
      <sz val="36"/>
      <color theme="1"/>
      <name val="Calibri"/>
      <family val="2"/>
      <scheme val="minor"/>
    </font>
    <font>
      <b/>
      <sz val="11"/>
      <color rgb="FFFF0000"/>
      <name val="Calibri"/>
      <family val="2"/>
      <scheme val="minor"/>
    </font>
    <font>
      <sz val="11"/>
      <color rgb="FFFF0000"/>
      <name val="Calibri"/>
      <family val="2"/>
      <scheme val="minor"/>
    </font>
    <font>
      <sz val="12"/>
      <color indexed="18"/>
      <name val="Courier New"/>
      <family val="3"/>
    </font>
    <font>
      <b/>
      <sz val="12"/>
      <color indexed="18"/>
      <name val="Courier New"/>
      <family val="3"/>
    </font>
    <font>
      <sz val="10"/>
      <name val="Arial"/>
      <family val="2"/>
    </font>
    <font>
      <b/>
      <sz val="10"/>
      <name val="Arial"/>
      <family val="2"/>
    </font>
    <font>
      <b/>
      <vertAlign val="subscript"/>
      <sz val="10"/>
      <name val="Arial"/>
      <family val="2"/>
    </font>
    <font>
      <vertAlign val="subscript"/>
      <sz val="12"/>
      <color indexed="18"/>
      <name val="Courier New"/>
      <family val="3"/>
    </font>
    <font>
      <vertAlign val="superscript"/>
      <sz val="12"/>
      <color indexed="18"/>
      <name val="Courier New"/>
      <family val="3"/>
    </font>
    <font>
      <sz val="24"/>
      <color theme="1"/>
      <name val="Calibri"/>
      <family val="2"/>
      <scheme val="minor"/>
    </font>
    <font>
      <sz val="22"/>
      <color theme="1"/>
      <name val="Calibri"/>
      <family val="2"/>
      <scheme val="minor"/>
    </font>
    <font>
      <b/>
      <i/>
      <sz val="10"/>
      <name val="Arial"/>
      <family val="2"/>
    </font>
    <font>
      <sz val="11"/>
      <name val="Calibri"/>
      <family val="2"/>
      <scheme val="minor"/>
    </font>
    <font>
      <b/>
      <sz val="10"/>
      <color rgb="FFFF0000"/>
      <name val="Arial"/>
      <family val="2"/>
    </font>
    <font>
      <b/>
      <vertAlign val="subscript"/>
      <sz val="10"/>
      <color rgb="FFFF0000"/>
      <name val="Arial"/>
      <family val="2"/>
    </font>
    <font>
      <b/>
      <sz val="18"/>
      <color theme="1"/>
      <name val="Calibri"/>
      <family val="2"/>
      <scheme val="minor"/>
    </font>
    <font>
      <b/>
      <sz val="11"/>
      <color rgb="FF00B050"/>
      <name val="Calibri"/>
      <family val="2"/>
      <scheme val="minor"/>
    </font>
    <font>
      <vertAlign val="subscript"/>
      <sz val="36"/>
      <color theme="1"/>
      <name val="Calibri"/>
      <family val="2"/>
      <scheme val="minor"/>
    </font>
    <font>
      <i/>
      <vertAlign val="subscript"/>
      <sz val="11"/>
      <color theme="1"/>
      <name val="Calibri"/>
      <family val="2"/>
      <scheme val="minor"/>
    </font>
    <font>
      <vertAlign val="subscript"/>
      <sz val="14"/>
      <color theme="1"/>
      <name val="Calibri"/>
      <family val="2"/>
      <scheme val="minor"/>
    </font>
    <font>
      <sz val="18"/>
      <color theme="1"/>
      <name val="Calibri"/>
      <family val="2"/>
      <scheme val="minor"/>
    </font>
    <font>
      <vertAlign val="subscript"/>
      <sz val="18"/>
      <color theme="1"/>
      <name val="Calibri"/>
      <family val="2"/>
      <scheme val="minor"/>
    </font>
    <font>
      <b/>
      <i/>
      <sz val="14"/>
      <color theme="1"/>
      <name val="Calibri"/>
      <family val="2"/>
      <scheme val="minor"/>
    </font>
    <font>
      <b/>
      <sz val="14"/>
      <color theme="1"/>
      <name val="Calibri"/>
      <family val="2"/>
      <scheme val="minor"/>
    </font>
    <font>
      <b/>
      <sz val="16"/>
      <color theme="1"/>
      <name val="Calibri"/>
      <family val="2"/>
      <scheme val="minor"/>
    </font>
    <font>
      <vertAlign val="subscript"/>
      <sz val="24"/>
      <color theme="1"/>
      <name val="Calibri"/>
      <family val="2"/>
      <scheme val="minor"/>
    </font>
    <font>
      <vertAlign val="subscript"/>
      <sz val="22"/>
      <color theme="1"/>
      <name val="Calibri"/>
      <family val="2"/>
      <scheme val="minor"/>
    </font>
  </fonts>
  <fills count="7">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4" tint="0.39997558519241921"/>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bottom/>
      <diagonal/>
    </border>
    <border>
      <left/>
      <right style="medium">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double">
        <color auto="1"/>
      </left>
      <right style="double">
        <color auto="1"/>
      </right>
      <top style="double">
        <color auto="1"/>
      </top>
      <bottom style="double">
        <color auto="1"/>
      </bottom>
      <diagonal/>
    </border>
    <border>
      <left style="thin">
        <color indexed="64"/>
      </left>
      <right style="medium">
        <color indexed="64"/>
      </right>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cellStyleXfs>
  <cellXfs count="244">
    <xf numFmtId="0" fontId="0" fillId="0" borderId="0" xfId="0"/>
    <xf numFmtId="0" fontId="0" fillId="3" borderId="0" xfId="0" applyFill="1"/>
    <xf numFmtId="0" fontId="0" fillId="3" borderId="1" xfId="0" applyFill="1" applyBorder="1" applyAlignment="1">
      <alignment horizontal="center"/>
    </xf>
    <xf numFmtId="0" fontId="0" fillId="3" borderId="0" xfId="0" applyFill="1" applyAlignment="1">
      <alignment horizontal="center"/>
    </xf>
    <xf numFmtId="2" fontId="0" fillId="3" borderId="0" xfId="0" applyNumberFormat="1" applyFill="1"/>
    <xf numFmtId="2" fontId="0" fillId="3" borderId="0" xfId="0" applyNumberFormat="1" applyFill="1" applyAlignment="1">
      <alignment horizontal="center"/>
    </xf>
    <xf numFmtId="0" fontId="1" fillId="0" borderId="1" xfId="0" applyFont="1" applyBorder="1" applyAlignment="1">
      <alignment horizontal="center"/>
    </xf>
    <xf numFmtId="0" fontId="0" fillId="3" borderId="1" xfId="0" applyFill="1" applyBorder="1" applyAlignment="1">
      <alignment horizontal="left"/>
    </xf>
    <xf numFmtId="0" fontId="0" fillId="2" borderId="1" xfId="0" applyFill="1" applyBorder="1" applyAlignment="1">
      <alignment horizontal="center"/>
    </xf>
    <xf numFmtId="164" fontId="0" fillId="3" borderId="0" xfId="0" applyNumberFormat="1" applyFill="1"/>
    <xf numFmtId="0" fontId="1" fillId="3" borderId="1" xfId="0" applyFont="1" applyFill="1" applyBorder="1" applyAlignment="1">
      <alignment horizontal="center"/>
    </xf>
    <xf numFmtId="0" fontId="0" fillId="4" borderId="0" xfId="0" applyFill="1"/>
    <xf numFmtId="0" fontId="0" fillId="4" borderId="1" xfId="0" applyFill="1" applyBorder="1" applyAlignment="1">
      <alignment horizontal="center"/>
    </xf>
    <xf numFmtId="0" fontId="0" fillId="4" borderId="0" xfId="0" applyFill="1" applyAlignment="1">
      <alignment horizontal="center"/>
    </xf>
    <xf numFmtId="0" fontId="1" fillId="3" borderId="1" xfId="0" applyFont="1" applyFill="1" applyBorder="1" applyAlignment="1">
      <alignment horizontal="center"/>
    </xf>
    <xf numFmtId="0" fontId="14" fillId="0" borderId="0" xfId="0" applyFont="1" applyAlignment="1">
      <alignment horizontal="left"/>
    </xf>
    <xf numFmtId="0" fontId="1" fillId="0" borderId="0" xfId="0" applyFont="1"/>
    <xf numFmtId="0" fontId="15" fillId="0" borderId="0" xfId="0" applyFont="1" applyAlignment="1">
      <alignment horizontal="left"/>
    </xf>
    <xf numFmtId="2" fontId="16" fillId="0" borderId="0" xfId="0" applyNumberFormat="1" applyFont="1" applyFill="1" applyBorder="1" applyAlignment="1">
      <alignment horizontal="left" wrapText="1"/>
    </xf>
    <xf numFmtId="0" fontId="17" fillId="0" borderId="0" xfId="0" applyFont="1"/>
    <xf numFmtId="2" fontId="16" fillId="0" borderId="0" xfId="0" applyNumberFormat="1" applyFont="1" applyBorder="1" applyAlignment="1">
      <alignment horizontal="left" wrapText="1"/>
    </xf>
    <xf numFmtId="2" fontId="0" fillId="0" borderId="0" xfId="0" applyNumberFormat="1" applyBorder="1" applyAlignment="1">
      <alignment horizontal="center"/>
    </xf>
    <xf numFmtId="0" fontId="0" fillId="0" borderId="0" xfId="0" applyBorder="1" applyAlignment="1">
      <alignment horizontal="center"/>
    </xf>
    <xf numFmtId="11" fontId="0" fillId="0" borderId="0" xfId="0" applyNumberFormat="1" applyBorder="1" applyAlignment="1">
      <alignment horizontal="center"/>
    </xf>
    <xf numFmtId="2" fontId="16" fillId="0" borderId="14" xfId="0" applyNumberFormat="1" applyFont="1" applyBorder="1" applyAlignment="1">
      <alignment horizontal="left" wrapText="1"/>
    </xf>
    <xf numFmtId="0" fontId="0" fillId="0" borderId="0" xfId="0" applyAlignment="1"/>
    <xf numFmtId="0" fontId="0" fillId="3" borderId="6" xfId="0" applyFill="1" applyBorder="1"/>
    <xf numFmtId="0" fontId="0" fillId="3" borderId="6" xfId="0" applyFill="1" applyBorder="1" applyAlignment="1">
      <alignment horizontal="center"/>
    </xf>
    <xf numFmtId="2" fontId="0" fillId="3" borderId="7" xfId="0" applyNumberFormat="1" applyFill="1" applyBorder="1" applyAlignment="1">
      <alignment horizontal="center"/>
    </xf>
    <xf numFmtId="0" fontId="0" fillId="3" borderId="0" xfId="0" applyFill="1" applyBorder="1"/>
    <xf numFmtId="0" fontId="0" fillId="3" borderId="0" xfId="0" applyFill="1" applyBorder="1" applyAlignment="1">
      <alignment horizontal="center"/>
    </xf>
    <xf numFmtId="2" fontId="0" fillId="3" borderId="22" xfId="0" applyNumberFormat="1" applyFill="1" applyBorder="1" applyAlignment="1">
      <alignment horizontal="center"/>
    </xf>
    <xf numFmtId="0" fontId="0" fillId="3" borderId="11" xfId="0" applyFill="1" applyBorder="1"/>
    <xf numFmtId="0" fontId="0" fillId="3" borderId="11" xfId="0" applyFill="1" applyBorder="1" applyAlignment="1">
      <alignment horizontal="center"/>
    </xf>
    <xf numFmtId="2" fontId="0" fillId="3" borderId="12" xfId="0" applyNumberFormat="1" applyFill="1" applyBorder="1" applyAlignment="1">
      <alignment horizontal="center"/>
    </xf>
    <xf numFmtId="2" fontId="1" fillId="3" borderId="17" xfId="0" applyNumberFormat="1" applyFont="1" applyFill="1" applyBorder="1" applyAlignment="1">
      <alignment horizontal="center"/>
    </xf>
    <xf numFmtId="2" fontId="1" fillId="3" borderId="9" xfId="0" applyNumberFormat="1" applyFont="1" applyFill="1" applyBorder="1" applyAlignment="1">
      <alignment horizontal="center"/>
    </xf>
    <xf numFmtId="0" fontId="23" fillId="0" borderId="0" xfId="0" applyFont="1"/>
    <xf numFmtId="0" fontId="16" fillId="0" borderId="0" xfId="0" applyFont="1" applyBorder="1"/>
    <xf numFmtId="2" fontId="16" fillId="0" borderId="27" xfId="0" applyNumberFormat="1" applyFont="1" applyBorder="1" applyAlignment="1">
      <alignment horizontal="left" wrapText="1"/>
    </xf>
    <xf numFmtId="0" fontId="13" fillId="0" borderId="0" xfId="0" applyFont="1"/>
    <xf numFmtId="0" fontId="13" fillId="0" borderId="0" xfId="0" applyFont="1" applyAlignment="1"/>
    <xf numFmtId="164" fontId="1" fillId="3" borderId="9" xfId="0" applyNumberFormat="1" applyFont="1" applyFill="1" applyBorder="1" applyAlignment="1">
      <alignment horizontal="center"/>
    </xf>
    <xf numFmtId="0" fontId="1" fillId="0" borderId="1" xfId="0" applyFont="1" applyBorder="1" applyAlignment="1">
      <alignment horizontal="center" wrapText="1"/>
    </xf>
    <xf numFmtId="0" fontId="0" fillId="0" borderId="0" xfId="0" applyBorder="1"/>
    <xf numFmtId="0" fontId="0" fillId="0" borderId="1" xfId="0" applyFont="1" applyBorder="1" applyAlignment="1">
      <alignment horizontal="center"/>
    </xf>
    <xf numFmtId="0" fontId="0" fillId="2" borderId="1" xfId="0" applyFont="1" applyFill="1" applyBorder="1" applyAlignment="1">
      <alignment horizontal="center" wrapText="1"/>
    </xf>
    <xf numFmtId="0" fontId="0" fillId="4" borderId="0" xfId="0" applyFill="1" applyBorder="1" applyAlignment="1">
      <alignment horizontal="center"/>
    </xf>
    <xf numFmtId="0" fontId="0" fillId="0" borderId="0" xfId="0" applyBorder="1" applyAlignment="1">
      <alignment wrapText="1"/>
    </xf>
    <xf numFmtId="0" fontId="0" fillId="3" borderId="0" xfId="0" applyFill="1" applyBorder="1" applyAlignment="1">
      <alignment horizontal="left"/>
    </xf>
    <xf numFmtId="0" fontId="0" fillId="0" borderId="0" xfId="0" applyFill="1" applyBorder="1" applyAlignment="1">
      <alignment horizontal="center"/>
    </xf>
    <xf numFmtId="2" fontId="0" fillId="0" borderId="22" xfId="0" applyNumberFormat="1" applyFill="1" applyBorder="1" applyAlignment="1">
      <alignment horizontal="center"/>
    </xf>
    <xf numFmtId="2" fontId="0" fillId="5" borderId="9" xfId="0" applyNumberFormat="1" applyFill="1" applyBorder="1" applyAlignment="1">
      <alignment horizontal="center"/>
    </xf>
    <xf numFmtId="164" fontId="0" fillId="5" borderId="9" xfId="0" applyNumberFormat="1" applyFont="1" applyFill="1" applyBorder="1" applyAlignment="1">
      <alignment horizontal="center"/>
    </xf>
    <xf numFmtId="164" fontId="0" fillId="5" borderId="9" xfId="0" applyNumberFormat="1" applyFill="1" applyBorder="1" applyAlignment="1">
      <alignment horizontal="center"/>
    </xf>
    <xf numFmtId="2" fontId="0" fillId="5" borderId="27" xfId="0" applyNumberFormat="1" applyFill="1" applyBorder="1" applyAlignment="1">
      <alignment horizontal="center" vertical="center"/>
    </xf>
    <xf numFmtId="2" fontId="0" fillId="5" borderId="1" xfId="0" applyNumberFormat="1" applyFill="1" applyBorder="1" applyAlignment="1">
      <alignment horizontal="center"/>
    </xf>
    <xf numFmtId="166" fontId="0" fillId="5" borderId="9" xfId="0" applyNumberFormat="1" applyFill="1" applyBorder="1" applyAlignment="1">
      <alignment horizontal="center"/>
    </xf>
    <xf numFmtId="0" fontId="0" fillId="6" borderId="5" xfId="0" applyFill="1" applyBorder="1" applyAlignment="1">
      <alignment horizontal="center"/>
    </xf>
    <xf numFmtId="0" fontId="0" fillId="6" borderId="6" xfId="0" applyFill="1" applyBorder="1" applyAlignment="1">
      <alignment horizontal="center"/>
    </xf>
    <xf numFmtId="164" fontId="0" fillId="6" borderId="7" xfId="0" applyNumberFormat="1" applyFill="1" applyBorder="1"/>
    <xf numFmtId="0" fontId="0" fillId="6" borderId="10" xfId="0" applyFill="1" applyBorder="1" applyAlignment="1">
      <alignment horizontal="center"/>
    </xf>
    <xf numFmtId="0" fontId="0" fillId="6" borderId="11" xfId="0" applyFill="1" applyBorder="1" applyAlignment="1">
      <alignment horizontal="center"/>
    </xf>
    <xf numFmtId="0" fontId="0" fillId="6" borderId="12" xfId="0" applyFill="1" applyBorder="1" applyAlignment="1">
      <alignment horizontal="center"/>
    </xf>
    <xf numFmtId="0" fontId="0" fillId="5" borderId="1" xfId="0" applyFill="1" applyBorder="1" applyAlignment="1">
      <alignment horizontal="center"/>
    </xf>
    <xf numFmtId="2" fontId="17" fillId="5" borderId="52" xfId="0" applyNumberFormat="1" applyFont="1" applyFill="1" applyBorder="1" applyAlignment="1">
      <alignment horizontal="center"/>
    </xf>
    <xf numFmtId="0" fontId="17" fillId="0" borderId="48" xfId="0" applyFont="1" applyBorder="1" applyAlignment="1">
      <alignment horizontal="center" vertical="center" wrapText="1"/>
    </xf>
    <xf numFmtId="0" fontId="17" fillId="0" borderId="50" xfId="0" applyFont="1" applyBorder="1" applyAlignment="1">
      <alignment horizontal="center" vertical="center"/>
    </xf>
    <xf numFmtId="0" fontId="17" fillId="0" borderId="5" xfId="0" applyFont="1" applyBorder="1" applyAlignment="1">
      <alignment horizontal="center" vertical="center"/>
    </xf>
    <xf numFmtId="0" fontId="0" fillId="2" borderId="51" xfId="0" applyFill="1" applyBorder="1" applyAlignment="1">
      <alignment horizontal="center" vertical="center"/>
    </xf>
    <xf numFmtId="11" fontId="0" fillId="2" borderId="19" xfId="0" applyNumberFormat="1" applyFill="1" applyBorder="1" applyAlignment="1">
      <alignment horizontal="center" vertical="center"/>
    </xf>
    <xf numFmtId="0" fontId="0" fillId="2" borderId="19" xfId="0" applyFill="1" applyBorder="1" applyAlignment="1">
      <alignment horizontal="center" vertical="center"/>
    </xf>
    <xf numFmtId="0" fontId="16" fillId="2" borderId="19" xfId="0" applyFont="1" applyFill="1" applyBorder="1" applyAlignment="1">
      <alignment horizontal="center" vertical="center"/>
    </xf>
    <xf numFmtId="2" fontId="0" fillId="2" borderId="19" xfId="0" applyNumberFormat="1" applyFill="1" applyBorder="1" applyAlignment="1">
      <alignment horizontal="center" vertical="center"/>
    </xf>
    <xf numFmtId="2" fontId="0" fillId="5" borderId="19" xfId="0" applyNumberFormat="1" applyFill="1" applyBorder="1" applyAlignment="1">
      <alignment horizontal="center" vertical="center"/>
    </xf>
    <xf numFmtId="0" fontId="0" fillId="2" borderId="8" xfId="0" applyFill="1" applyBorder="1" applyAlignment="1">
      <alignment horizontal="center" vertical="center"/>
    </xf>
    <xf numFmtId="11" fontId="0" fillId="2" borderId="1" xfId="0" applyNumberFormat="1" applyFill="1" applyBorder="1" applyAlignment="1">
      <alignment horizontal="center" vertical="center"/>
    </xf>
    <xf numFmtId="0" fontId="0" fillId="2" borderId="1" xfId="0" applyFill="1" applyBorder="1" applyAlignment="1">
      <alignment horizontal="center" vertical="center"/>
    </xf>
    <xf numFmtId="0" fontId="16" fillId="2" borderId="1" xfId="0" applyFont="1" applyFill="1" applyBorder="1" applyAlignment="1">
      <alignment horizontal="center" vertical="center"/>
    </xf>
    <xf numFmtId="2" fontId="0" fillId="2" borderId="1" xfId="0" applyNumberFormat="1" applyFill="1" applyBorder="1" applyAlignment="1">
      <alignment horizontal="center" vertical="center"/>
    </xf>
    <xf numFmtId="2" fontId="0" fillId="5" borderId="1" xfId="0" applyNumberFormat="1" applyFill="1" applyBorder="1" applyAlignment="1">
      <alignment horizontal="center" vertical="center"/>
    </xf>
    <xf numFmtId="0" fontId="0" fillId="2" borderId="47" xfId="0" applyFill="1" applyBorder="1" applyAlignment="1">
      <alignment horizontal="center" vertical="center"/>
    </xf>
    <xf numFmtId="11" fontId="0" fillId="2" borderId="16" xfId="0" applyNumberFormat="1" applyFill="1" applyBorder="1" applyAlignment="1">
      <alignment horizontal="center" vertical="center"/>
    </xf>
    <xf numFmtId="0" fontId="0" fillId="2" borderId="16" xfId="0" applyFill="1" applyBorder="1" applyAlignment="1">
      <alignment horizontal="center" vertical="center"/>
    </xf>
    <xf numFmtId="0" fontId="16" fillId="2" borderId="16" xfId="0" applyFont="1" applyFill="1" applyBorder="1" applyAlignment="1">
      <alignment horizontal="center" vertical="center"/>
    </xf>
    <xf numFmtId="2" fontId="0" fillId="2" borderId="16" xfId="0" applyNumberFormat="1" applyFill="1" applyBorder="1" applyAlignment="1">
      <alignment horizontal="center" vertical="center"/>
    </xf>
    <xf numFmtId="2" fontId="0" fillId="5" borderId="16" xfId="0" applyNumberFormat="1" applyFill="1" applyBorder="1" applyAlignment="1">
      <alignment horizontal="center" vertical="center"/>
    </xf>
    <xf numFmtId="2" fontId="16" fillId="0" borderId="17" xfId="0" applyNumberFormat="1" applyFont="1" applyBorder="1" applyAlignment="1">
      <alignment horizontal="left" vertical="center" wrapText="1"/>
    </xf>
    <xf numFmtId="2" fontId="16" fillId="0" borderId="9" xfId="0" applyNumberFormat="1" applyFont="1" applyBorder="1" applyAlignment="1">
      <alignment horizontal="left" vertical="center" wrapText="1"/>
    </xf>
    <xf numFmtId="2" fontId="16" fillId="0" borderId="14" xfId="0" applyNumberFormat="1" applyFont="1" applyBorder="1" applyAlignment="1">
      <alignment horizontal="left" vertical="center" wrapText="1"/>
    </xf>
    <xf numFmtId="0" fontId="0" fillId="4" borderId="45" xfId="0" applyFill="1" applyBorder="1" applyAlignment="1">
      <alignment horizontal="center"/>
    </xf>
    <xf numFmtId="0" fontId="1" fillId="4" borderId="45" xfId="0" applyFont="1" applyFill="1" applyBorder="1" applyAlignment="1">
      <alignment horizontal="center" vertical="center" wrapText="1"/>
    </xf>
    <xf numFmtId="0" fontId="0" fillId="4" borderId="45" xfId="0" applyFill="1" applyBorder="1" applyAlignment="1">
      <alignment horizontal="center" vertical="center" wrapText="1"/>
    </xf>
    <xf numFmtId="0" fontId="17" fillId="0" borderId="49" xfId="0" applyFont="1" applyBorder="1" applyAlignment="1">
      <alignment horizontal="center" vertical="center" wrapText="1"/>
    </xf>
    <xf numFmtId="0" fontId="16" fillId="0" borderId="24" xfId="0" applyFont="1" applyBorder="1" applyAlignment="1">
      <alignment horizontal="center" vertical="center" wrapText="1"/>
    </xf>
    <xf numFmtId="11" fontId="0" fillId="2" borderId="20" xfId="0" applyNumberFormat="1" applyFill="1" applyBorder="1" applyAlignment="1">
      <alignment horizontal="center" vertical="center"/>
    </xf>
    <xf numFmtId="0" fontId="0" fillId="2" borderId="20" xfId="0" applyFill="1" applyBorder="1" applyAlignment="1">
      <alignment horizontal="center" vertical="center"/>
    </xf>
    <xf numFmtId="11" fontId="13" fillId="2" borderId="1" xfId="0" applyNumberFormat="1" applyFont="1" applyFill="1" applyBorder="1" applyAlignment="1">
      <alignment horizontal="center" vertical="center"/>
    </xf>
    <xf numFmtId="2" fontId="24" fillId="2" borderId="20" xfId="0" applyNumberFormat="1" applyFont="1" applyFill="1" applyBorder="1" applyAlignment="1">
      <alignment horizontal="center" vertical="center"/>
    </xf>
    <xf numFmtId="2" fontId="0" fillId="5" borderId="23" xfId="0" applyNumberFormat="1" applyFill="1" applyBorder="1" applyAlignment="1">
      <alignment horizontal="center" vertical="center"/>
    </xf>
    <xf numFmtId="11" fontId="0" fillId="0" borderId="20" xfId="0" applyNumberFormat="1" applyBorder="1" applyAlignment="1">
      <alignment horizontal="center" vertical="center"/>
    </xf>
    <xf numFmtId="0" fontId="13" fillId="2" borderId="20" xfId="0" applyFont="1" applyFill="1" applyBorder="1" applyAlignment="1">
      <alignment horizontal="center" vertical="center"/>
    </xf>
    <xf numFmtId="11" fontId="0" fillId="0" borderId="16" xfId="0" applyNumberFormat="1" applyBorder="1" applyAlignment="1">
      <alignment horizontal="center" vertical="center"/>
    </xf>
    <xf numFmtId="0" fontId="0" fillId="2" borderId="25" xfId="0" applyFill="1" applyBorder="1" applyAlignment="1">
      <alignment horizontal="center" vertical="center"/>
    </xf>
    <xf numFmtId="0" fontId="13" fillId="2" borderId="16" xfId="0" applyFont="1" applyFill="1" applyBorder="1" applyAlignment="1">
      <alignment horizontal="center" vertical="center"/>
    </xf>
    <xf numFmtId="2" fontId="24" fillId="2" borderId="16" xfId="0" applyNumberFormat="1" applyFont="1" applyFill="1" applyBorder="1" applyAlignment="1">
      <alignment horizontal="center" vertical="center"/>
    </xf>
    <xf numFmtId="11" fontId="13" fillId="2" borderId="16" xfId="0" applyNumberFormat="1" applyFont="1" applyFill="1" applyBorder="1" applyAlignment="1">
      <alignment horizontal="center" vertical="center"/>
    </xf>
    <xf numFmtId="0" fontId="16" fillId="0" borderId="38" xfId="0" applyFont="1" applyBorder="1" applyAlignment="1">
      <alignment horizontal="center" vertical="center" wrapText="1"/>
    </xf>
    <xf numFmtId="0" fontId="0" fillId="2" borderId="30" xfId="0" applyFill="1" applyBorder="1" applyAlignment="1">
      <alignment horizontal="center" vertical="center"/>
    </xf>
    <xf numFmtId="11" fontId="13" fillId="2" borderId="31" xfId="0" applyNumberFormat="1" applyFont="1" applyFill="1" applyBorder="1" applyAlignment="1">
      <alignment horizontal="center" vertical="center"/>
    </xf>
    <xf numFmtId="2" fontId="24" fillId="2" borderId="30" xfId="0" applyNumberFormat="1" applyFont="1" applyFill="1" applyBorder="1" applyAlignment="1">
      <alignment horizontal="center" vertical="center"/>
    </xf>
    <xf numFmtId="2" fontId="0" fillId="5" borderId="31" xfId="0" applyNumberFormat="1" applyFill="1" applyBorder="1" applyAlignment="1">
      <alignment horizontal="center" vertical="center"/>
    </xf>
    <xf numFmtId="2" fontId="0" fillId="5" borderId="37" xfId="0" applyNumberFormat="1" applyFill="1" applyBorder="1" applyAlignment="1">
      <alignment horizontal="center" vertical="center"/>
    </xf>
    <xf numFmtId="2" fontId="16" fillId="0" borderId="53" xfId="0" applyNumberFormat="1" applyFont="1" applyBorder="1" applyAlignment="1">
      <alignment horizontal="left" wrapText="1"/>
    </xf>
    <xf numFmtId="0" fontId="17" fillId="0" borderId="55" xfId="0" applyFont="1" applyBorder="1" applyAlignment="1">
      <alignment horizontal="center" vertical="center" wrapText="1"/>
    </xf>
    <xf numFmtId="0" fontId="25" fillId="0" borderId="55" xfId="0" applyFont="1" applyBorder="1" applyAlignment="1">
      <alignment horizontal="center" vertical="center" wrapText="1"/>
    </xf>
    <xf numFmtId="0" fontId="17" fillId="0" borderId="56" xfId="0" applyFont="1" applyBorder="1" applyAlignment="1">
      <alignment horizontal="center" vertical="center" wrapText="1"/>
    </xf>
    <xf numFmtId="0" fontId="17" fillId="0" borderId="57" xfId="0" applyFont="1" applyBorder="1" applyAlignment="1">
      <alignment horizontal="center" vertical="center" wrapText="1"/>
    </xf>
    <xf numFmtId="0" fontId="0" fillId="4" borderId="1" xfId="0" applyFill="1" applyBorder="1" applyAlignment="1">
      <alignment horizontal="center" wrapText="1"/>
    </xf>
    <xf numFmtId="0" fontId="1" fillId="4" borderId="1" xfId="0" applyFont="1" applyFill="1" applyBorder="1" applyAlignment="1">
      <alignment horizontal="center"/>
    </xf>
    <xf numFmtId="0" fontId="1" fillId="4" borderId="1" xfId="0" applyFont="1" applyFill="1" applyBorder="1" applyAlignment="1">
      <alignment horizontal="center" wrapText="1"/>
    </xf>
    <xf numFmtId="0" fontId="0" fillId="4" borderId="0" xfId="0" applyFill="1" applyAlignment="1">
      <alignment horizontal="center" wrapText="1"/>
    </xf>
    <xf numFmtId="0" fontId="1" fillId="4" borderId="1" xfId="0" applyFont="1" applyFill="1" applyBorder="1" applyAlignment="1">
      <alignment horizontal="center" vertical="center" wrapText="1"/>
    </xf>
    <xf numFmtId="2" fontId="1" fillId="5" borderId="27" xfId="0" applyNumberFormat="1" applyFont="1" applyFill="1" applyBorder="1" applyAlignment="1">
      <alignment horizontal="center" vertical="center"/>
    </xf>
    <xf numFmtId="164" fontId="0" fillId="5" borderId="18" xfId="0" applyNumberFormat="1" applyFill="1" applyBorder="1" applyAlignment="1">
      <alignment horizontal="center" vertical="center"/>
    </xf>
    <xf numFmtId="164" fontId="0" fillId="5" borderId="2" xfId="0" applyNumberFormat="1" applyFill="1" applyBorder="1" applyAlignment="1">
      <alignment horizontal="center" vertical="center"/>
    </xf>
    <xf numFmtId="164" fontId="0" fillId="5" borderId="15" xfId="0" applyNumberFormat="1" applyFill="1" applyBorder="1" applyAlignment="1">
      <alignment horizontal="center" vertical="center"/>
    </xf>
    <xf numFmtId="0" fontId="0" fillId="2" borderId="29" xfId="0" applyFill="1" applyBorder="1" applyAlignment="1">
      <alignment horizontal="center" vertical="center"/>
    </xf>
    <xf numFmtId="0" fontId="16" fillId="2" borderId="20" xfId="0" applyFont="1" applyFill="1" applyBorder="1" applyAlignment="1">
      <alignment horizontal="center" vertical="center"/>
    </xf>
    <xf numFmtId="2" fontId="0" fillId="2" borderId="20" xfId="0" applyNumberFormat="1" applyFill="1" applyBorder="1" applyAlignment="1">
      <alignment horizontal="center" vertical="center"/>
    </xf>
    <xf numFmtId="2" fontId="16" fillId="0" borderId="27" xfId="0" applyNumberFormat="1" applyFont="1" applyBorder="1" applyAlignment="1">
      <alignment horizontal="left" vertical="center" wrapText="1"/>
    </xf>
    <xf numFmtId="11" fontId="0" fillId="5" borderId="30" xfId="0" applyNumberFormat="1" applyFill="1" applyBorder="1" applyAlignment="1">
      <alignment horizontal="center" vertical="center"/>
    </xf>
    <xf numFmtId="11" fontId="0" fillId="5" borderId="20" xfId="0" applyNumberFormat="1" applyFill="1" applyBorder="1" applyAlignment="1">
      <alignment horizontal="center" vertical="center"/>
    </xf>
    <xf numFmtId="11" fontId="0" fillId="5" borderId="16" xfId="0" applyNumberFormat="1" applyFill="1" applyBorder="1" applyAlignment="1">
      <alignment horizontal="center" vertical="center"/>
    </xf>
    <xf numFmtId="0" fontId="1" fillId="4" borderId="0" xfId="0" applyFont="1" applyFill="1" applyAlignment="1"/>
    <xf numFmtId="0" fontId="1" fillId="4" borderId="0" xfId="0" applyFont="1" applyFill="1" applyAlignment="1">
      <alignment horizontal="center"/>
    </xf>
    <xf numFmtId="2" fontId="1" fillId="4" borderId="1" xfId="0" applyNumberFormat="1" applyFont="1" applyFill="1" applyBorder="1" applyAlignment="1">
      <alignment horizontal="center"/>
    </xf>
    <xf numFmtId="1" fontId="0" fillId="4" borderId="1" xfId="0" applyNumberFormat="1" applyFill="1" applyBorder="1" applyAlignment="1">
      <alignment horizontal="center"/>
    </xf>
    <xf numFmtId="1" fontId="0" fillId="4" borderId="0" xfId="0" applyNumberFormat="1" applyFill="1" applyAlignment="1">
      <alignment horizontal="center"/>
    </xf>
    <xf numFmtId="2" fontId="0" fillId="4" borderId="0" xfId="0" applyNumberFormat="1" applyFill="1" applyAlignment="1">
      <alignment horizontal="center"/>
    </xf>
    <xf numFmtId="0" fontId="1" fillId="4" borderId="0" xfId="0" applyFont="1" applyFill="1"/>
    <xf numFmtId="2" fontId="1" fillId="4" borderId="1" xfId="0" applyNumberFormat="1" applyFont="1" applyFill="1" applyBorder="1" applyAlignment="1">
      <alignment horizontal="left" wrapText="1"/>
    </xf>
    <xf numFmtId="0" fontId="0" fillId="4" borderId="1" xfId="0" applyFont="1" applyFill="1" applyBorder="1" applyAlignment="1">
      <alignment horizontal="center" wrapText="1"/>
    </xf>
    <xf numFmtId="0" fontId="0" fillId="4" borderId="0" xfId="0" applyFont="1" applyFill="1"/>
    <xf numFmtId="0" fontId="0" fillId="4" borderId="1" xfId="0" applyFont="1" applyFill="1" applyBorder="1" applyAlignment="1">
      <alignment horizontal="center"/>
    </xf>
    <xf numFmtId="2" fontId="0" fillId="4" borderId="1" xfId="0" applyNumberFormat="1" applyFont="1" applyFill="1" applyBorder="1" applyAlignment="1">
      <alignment horizontal="center"/>
    </xf>
    <xf numFmtId="2" fontId="0" fillId="4" borderId="1" xfId="0" applyNumberFormat="1" applyFill="1" applyBorder="1" applyAlignment="1">
      <alignment horizontal="center"/>
    </xf>
    <xf numFmtId="0" fontId="35" fillId="4" borderId="2" xfId="0" applyFont="1" applyFill="1" applyBorder="1"/>
    <xf numFmtId="0" fontId="35" fillId="4" borderId="3" xfId="0" applyFont="1" applyFill="1" applyBorder="1"/>
    <xf numFmtId="0" fontId="4" fillId="4" borderId="3" xfId="0" applyFont="1" applyFill="1" applyBorder="1"/>
    <xf numFmtId="0" fontId="4" fillId="4" borderId="4" xfId="0" applyFont="1" applyFill="1" applyBorder="1"/>
    <xf numFmtId="0" fontId="4" fillId="4" borderId="37" xfId="0" applyFont="1" applyFill="1" applyBorder="1"/>
    <xf numFmtId="0" fontId="4" fillId="4" borderId="0" xfId="0" applyFont="1" applyFill="1" applyBorder="1"/>
    <xf numFmtId="0" fontId="4" fillId="4" borderId="38" xfId="0" applyFont="1" applyFill="1" applyBorder="1"/>
    <xf numFmtId="0" fontId="4" fillId="4" borderId="39" xfId="0" applyFont="1" applyFill="1" applyBorder="1"/>
    <xf numFmtId="0" fontId="4" fillId="4" borderId="40" xfId="0" applyFont="1" applyFill="1" applyBorder="1"/>
    <xf numFmtId="0" fontId="4" fillId="4" borderId="35" xfId="0" applyFont="1" applyFill="1" applyBorder="1"/>
    <xf numFmtId="0" fontId="1" fillId="4" borderId="1" xfId="0" applyFont="1" applyFill="1" applyBorder="1" applyAlignment="1">
      <alignment horizontal="center" vertical="center"/>
    </xf>
    <xf numFmtId="0" fontId="1" fillId="4" borderId="0" xfId="0" applyFont="1" applyFill="1" applyBorder="1"/>
    <xf numFmtId="0" fontId="0" fillId="4" borderId="0" xfId="0" applyFill="1" applyBorder="1"/>
    <xf numFmtId="0" fontId="0" fillId="4" borderId="1" xfId="0" applyFill="1" applyBorder="1"/>
    <xf numFmtId="0" fontId="0" fillId="4" borderId="41" xfId="0" applyFill="1" applyBorder="1" applyAlignment="1">
      <alignment horizontal="center"/>
    </xf>
    <xf numFmtId="0" fontId="0" fillId="4" borderId="42" xfId="0" applyFill="1" applyBorder="1" applyAlignment="1">
      <alignment horizontal="center"/>
    </xf>
    <xf numFmtId="0" fontId="0" fillId="4" borderId="43" xfId="0" applyFill="1" applyBorder="1" applyAlignment="1">
      <alignment horizontal="center"/>
    </xf>
    <xf numFmtId="0" fontId="0" fillId="4" borderId="44" xfId="0" applyFill="1" applyBorder="1" applyAlignment="1">
      <alignment horizontal="center"/>
    </xf>
    <xf numFmtId="0" fontId="0" fillId="4" borderId="44" xfId="0" applyFill="1" applyBorder="1" applyAlignment="1">
      <alignment horizontal="center" wrapText="1"/>
    </xf>
    <xf numFmtId="0" fontId="0" fillId="4" borderId="42" xfId="0" applyFill="1" applyBorder="1" applyAlignment="1">
      <alignment horizontal="center" wrapText="1"/>
    </xf>
    <xf numFmtId="0" fontId="0" fillId="4" borderId="45" xfId="0" applyFill="1" applyBorder="1" applyAlignment="1">
      <alignment horizontal="center" wrapText="1"/>
    </xf>
    <xf numFmtId="0" fontId="0" fillId="4" borderId="6" xfId="0" applyFill="1" applyBorder="1" applyAlignment="1">
      <alignment horizontal="center"/>
    </xf>
    <xf numFmtId="0" fontId="0" fillId="4" borderId="46" xfId="0" applyFill="1" applyBorder="1" applyAlignment="1">
      <alignment horizontal="center"/>
    </xf>
    <xf numFmtId="0" fontId="0" fillId="4" borderId="11" xfId="0" applyFill="1" applyBorder="1" applyAlignment="1">
      <alignment horizontal="center"/>
    </xf>
    <xf numFmtId="0" fontId="0" fillId="4" borderId="12" xfId="0" applyFill="1" applyBorder="1" applyAlignment="1">
      <alignment horizontal="center"/>
    </xf>
    <xf numFmtId="0" fontId="0" fillId="2" borderId="0" xfId="0" applyFill="1" applyAlignment="1"/>
    <xf numFmtId="0" fontId="0" fillId="3" borderId="1" xfId="0" applyFill="1" applyBorder="1" applyAlignment="1">
      <alignment horizontal="left"/>
    </xf>
    <xf numFmtId="0" fontId="36" fillId="3" borderId="2" xfId="0" applyFont="1" applyFill="1" applyBorder="1" applyAlignment="1">
      <alignment horizontal="center" vertical="center" wrapText="1"/>
    </xf>
    <xf numFmtId="0" fontId="0" fillId="0" borderId="3" xfId="0" applyBorder="1" applyAlignment="1">
      <alignment horizontal="center"/>
    </xf>
    <xf numFmtId="0" fontId="0" fillId="0" borderId="4" xfId="0" applyBorder="1" applyAlignment="1">
      <alignment horizontal="center"/>
    </xf>
    <xf numFmtId="0" fontId="0" fillId="3" borderId="2" xfId="0" applyFill="1" applyBorder="1" applyAlignment="1">
      <alignment horizontal="left"/>
    </xf>
    <xf numFmtId="0" fontId="0" fillId="3" borderId="3" xfId="0" applyFill="1" applyBorder="1" applyAlignment="1">
      <alignment horizontal="left"/>
    </xf>
    <xf numFmtId="0" fontId="0" fillId="3" borderId="4" xfId="0" applyFill="1" applyBorder="1" applyAlignment="1">
      <alignment horizontal="left"/>
    </xf>
    <xf numFmtId="0" fontId="21" fillId="3" borderId="5" xfId="0" applyFont="1" applyFill="1" applyBorder="1" applyAlignment="1">
      <alignment horizontal="center" vertical="center" textRotation="90"/>
    </xf>
    <xf numFmtId="0" fontId="21" fillId="3" borderId="21" xfId="0" applyFont="1" applyFill="1" applyBorder="1" applyAlignment="1">
      <alignment horizontal="center" vertical="center" textRotation="90"/>
    </xf>
    <xf numFmtId="0" fontId="21" fillId="3" borderId="10" xfId="0" applyFont="1" applyFill="1" applyBorder="1" applyAlignment="1">
      <alignment horizontal="center" vertical="center" textRotation="90"/>
    </xf>
    <xf numFmtId="0" fontId="1" fillId="3" borderId="16" xfId="0" applyFont="1" applyFill="1" applyBorder="1" applyAlignment="1">
      <alignment horizontal="left"/>
    </xf>
    <xf numFmtId="0" fontId="1" fillId="3" borderId="2" xfId="0" applyFont="1" applyFill="1" applyBorder="1" applyAlignment="1">
      <alignment horizontal="left"/>
    </xf>
    <xf numFmtId="0" fontId="1" fillId="3" borderId="3" xfId="0" applyFont="1" applyFill="1" applyBorder="1" applyAlignment="1">
      <alignment horizontal="left"/>
    </xf>
    <xf numFmtId="0" fontId="1" fillId="3" borderId="4" xfId="0" applyFont="1" applyFill="1" applyBorder="1" applyAlignment="1">
      <alignment horizontal="left"/>
    </xf>
    <xf numFmtId="0" fontId="22" fillId="3" borderId="5" xfId="0" applyFont="1" applyFill="1" applyBorder="1" applyAlignment="1">
      <alignment horizontal="center" vertical="center" textRotation="90"/>
    </xf>
    <xf numFmtId="0" fontId="22" fillId="3" borderId="21" xfId="0" applyFont="1" applyFill="1" applyBorder="1" applyAlignment="1">
      <alignment horizontal="center" vertical="center" textRotation="90"/>
    </xf>
    <xf numFmtId="0" fontId="22" fillId="3" borderId="10" xfId="0" applyFont="1" applyFill="1" applyBorder="1" applyAlignment="1">
      <alignment horizontal="center" vertical="center" textRotation="90"/>
    </xf>
    <xf numFmtId="0" fontId="2" fillId="3" borderId="23" xfId="0" applyFont="1" applyFill="1" applyBorder="1" applyAlignment="1">
      <alignment horizontal="center" wrapText="1"/>
    </xf>
    <xf numFmtId="0" fontId="2" fillId="3" borderId="13" xfId="0" applyFont="1" applyFill="1" applyBorder="1" applyAlignment="1">
      <alignment horizontal="center" wrapText="1"/>
    </xf>
    <xf numFmtId="0" fontId="2" fillId="3" borderId="24" xfId="0" applyFont="1" applyFill="1" applyBorder="1" applyAlignment="1">
      <alignment horizontal="center" wrapText="1"/>
    </xf>
    <xf numFmtId="0" fontId="2" fillId="3" borderId="37" xfId="0" applyFont="1" applyFill="1" applyBorder="1" applyAlignment="1">
      <alignment horizontal="center" wrapText="1"/>
    </xf>
    <xf numFmtId="0" fontId="2" fillId="3" borderId="0" xfId="0" applyFont="1" applyFill="1" applyBorder="1" applyAlignment="1">
      <alignment horizontal="center" wrapText="1"/>
    </xf>
    <xf numFmtId="0" fontId="2" fillId="3" borderId="38" xfId="0" applyFont="1" applyFill="1" applyBorder="1" applyAlignment="1">
      <alignment horizontal="center" wrapText="1"/>
    </xf>
    <xf numFmtId="0" fontId="2" fillId="3" borderId="39" xfId="0" applyFont="1" applyFill="1" applyBorder="1" applyAlignment="1">
      <alignment horizontal="center" wrapText="1"/>
    </xf>
    <xf numFmtId="0" fontId="2" fillId="3" borderId="40" xfId="0" applyFont="1" applyFill="1" applyBorder="1" applyAlignment="1">
      <alignment horizontal="center" wrapText="1"/>
    </xf>
    <xf numFmtId="0" fontId="2" fillId="3" borderId="35" xfId="0" applyFont="1" applyFill="1" applyBorder="1" applyAlignment="1">
      <alignment horizontal="center" wrapText="1"/>
    </xf>
    <xf numFmtId="164" fontId="1" fillId="5" borderId="27" xfId="0" applyNumberFormat="1" applyFont="1" applyFill="1" applyBorder="1" applyAlignment="1">
      <alignment horizontal="center" vertical="center"/>
    </xf>
    <xf numFmtId="164" fontId="1" fillId="5" borderId="32" xfId="0" applyNumberFormat="1" applyFont="1" applyFill="1" applyBorder="1" applyAlignment="1">
      <alignment horizontal="center" vertical="center"/>
    </xf>
    <xf numFmtId="0" fontId="1" fillId="3" borderId="1" xfId="0" applyFont="1" applyFill="1" applyBorder="1" applyAlignment="1">
      <alignment horizontal="left"/>
    </xf>
    <xf numFmtId="0" fontId="9" fillId="4" borderId="8" xfId="0" applyFont="1" applyFill="1" applyBorder="1" applyAlignment="1">
      <alignment horizontal="center"/>
    </xf>
    <xf numFmtId="0" fontId="9" fillId="4" borderId="1" xfId="0" applyFont="1" applyFill="1" applyBorder="1" applyAlignment="1">
      <alignment horizontal="center"/>
    </xf>
    <xf numFmtId="0" fontId="9" fillId="4" borderId="36" xfId="0" applyFont="1" applyFill="1" applyBorder="1" applyAlignment="1">
      <alignment horizontal="center"/>
    </xf>
    <xf numFmtId="0" fontId="9" fillId="4" borderId="4" xfId="0" applyFont="1" applyFill="1" applyBorder="1" applyAlignment="1">
      <alignment horizontal="center"/>
    </xf>
    <xf numFmtId="0" fontId="1" fillId="4" borderId="33" xfId="0" applyFont="1" applyFill="1" applyBorder="1" applyAlignment="1">
      <alignment horizontal="center" vertical="center"/>
    </xf>
    <xf numFmtId="0" fontId="1" fillId="4" borderId="24" xfId="0" applyFont="1" applyFill="1" applyBorder="1" applyAlignment="1">
      <alignment horizontal="center" vertical="center"/>
    </xf>
    <xf numFmtId="0" fontId="1" fillId="4" borderId="34" xfId="0" applyFont="1" applyFill="1" applyBorder="1" applyAlignment="1">
      <alignment horizontal="center" vertical="center"/>
    </xf>
    <xf numFmtId="0" fontId="1" fillId="4" borderId="35" xfId="0" applyFont="1" applyFill="1" applyBorder="1" applyAlignment="1">
      <alignment horizontal="center" vertical="center"/>
    </xf>
    <xf numFmtId="165" fontId="27" fillId="5" borderId="20" xfId="0" applyNumberFormat="1" applyFont="1" applyFill="1" applyBorder="1" applyAlignment="1">
      <alignment horizontal="center" vertical="center" wrapText="1"/>
    </xf>
    <xf numFmtId="165" fontId="27" fillId="5" borderId="30" xfId="0" applyNumberFormat="1" applyFont="1" applyFill="1" applyBorder="1" applyAlignment="1">
      <alignment horizontal="center" vertical="center" wrapText="1"/>
    </xf>
    <xf numFmtId="165" fontId="27" fillId="5" borderId="31" xfId="0" applyNumberFormat="1" applyFont="1" applyFill="1" applyBorder="1" applyAlignment="1">
      <alignment horizontal="center" vertical="center" wrapText="1"/>
    </xf>
    <xf numFmtId="0" fontId="1" fillId="6" borderId="1" xfId="0" applyFont="1" applyFill="1" applyBorder="1" applyAlignment="1">
      <alignment horizontal="center"/>
    </xf>
    <xf numFmtId="0" fontId="1" fillId="6" borderId="1" xfId="0" applyFont="1" applyFill="1" applyBorder="1" applyAlignment="1">
      <alignment horizontal="center" wrapText="1"/>
    </xf>
    <xf numFmtId="0" fontId="2" fillId="3" borderId="0" xfId="0" applyFont="1" applyFill="1" applyAlignment="1"/>
    <xf numFmtId="0" fontId="3" fillId="3" borderId="0" xfId="0" applyFont="1" applyFill="1" applyAlignment="1"/>
    <xf numFmtId="0" fontId="4" fillId="5" borderId="0" xfId="0" applyFont="1" applyFill="1" applyAlignment="1">
      <alignment horizontal="center"/>
    </xf>
    <xf numFmtId="0" fontId="4" fillId="2" borderId="0" xfId="0" applyFont="1" applyFill="1" applyAlignment="1"/>
    <xf numFmtId="0" fontId="0" fillId="3" borderId="1" xfId="0" applyFont="1" applyFill="1" applyBorder="1" applyAlignment="1">
      <alignment horizontal="left"/>
    </xf>
    <xf numFmtId="0" fontId="1" fillId="3" borderId="1" xfId="0" applyFont="1" applyFill="1" applyBorder="1" applyAlignment="1">
      <alignment horizontal="center"/>
    </xf>
    <xf numFmtId="164" fontId="10" fillId="3" borderId="0" xfId="0" applyNumberFormat="1" applyFont="1" applyFill="1" applyBorder="1" applyAlignment="1">
      <alignment horizontal="center" wrapText="1"/>
    </xf>
    <xf numFmtId="0" fontId="32" fillId="3" borderId="2" xfId="0" applyFont="1" applyFill="1" applyBorder="1" applyAlignment="1">
      <alignment horizontal="center" vertical="center" wrapText="1"/>
    </xf>
    <xf numFmtId="0" fontId="32" fillId="3" borderId="3" xfId="0" applyFont="1" applyFill="1" applyBorder="1" applyAlignment="1">
      <alignment horizontal="center" vertical="center" wrapText="1"/>
    </xf>
    <xf numFmtId="0" fontId="32" fillId="3" borderId="4" xfId="0" applyFont="1" applyFill="1" applyBorder="1" applyAlignment="1">
      <alignment horizontal="center" vertical="center" wrapText="1"/>
    </xf>
    <xf numFmtId="0" fontId="11" fillId="3" borderId="5" xfId="0" applyFont="1" applyFill="1" applyBorder="1" applyAlignment="1">
      <alignment horizontal="center" vertical="center" textRotation="90"/>
    </xf>
    <xf numFmtId="0" fontId="11" fillId="3" borderId="21" xfId="0" applyFont="1" applyFill="1" applyBorder="1" applyAlignment="1">
      <alignment horizontal="center" vertical="center" textRotation="90"/>
    </xf>
    <xf numFmtId="0" fontId="11" fillId="3" borderId="10" xfId="0" applyFont="1" applyFill="1" applyBorder="1" applyAlignment="1">
      <alignment horizontal="center" vertical="center" textRotation="90"/>
    </xf>
    <xf numFmtId="0" fontId="12" fillId="3" borderId="13" xfId="0" applyFont="1" applyFill="1" applyBorder="1" applyAlignment="1">
      <alignment horizontal="left" wrapText="1"/>
    </xf>
    <xf numFmtId="0" fontId="12" fillId="3" borderId="0" xfId="0" applyFont="1" applyFill="1" applyAlignment="1">
      <alignment horizontal="left" wrapText="1"/>
    </xf>
    <xf numFmtId="0" fontId="1" fillId="3" borderId="19" xfId="0" applyFont="1" applyFill="1" applyBorder="1" applyAlignment="1">
      <alignment horizontal="center"/>
    </xf>
    <xf numFmtId="0" fontId="1" fillId="4" borderId="1" xfId="0" applyFont="1" applyFill="1" applyBorder="1" applyAlignment="1">
      <alignment horizontal="center"/>
    </xf>
    <xf numFmtId="0" fontId="0" fillId="2" borderId="0" xfId="0" applyFill="1" applyAlignment="1"/>
    <xf numFmtId="0" fontId="0" fillId="5" borderId="0" xfId="0" applyFill="1" applyAlignment="1"/>
    <xf numFmtId="0" fontId="14" fillId="0" borderId="0" xfId="0" applyFont="1" applyAlignment="1">
      <alignment horizontal="left"/>
    </xf>
    <xf numFmtId="0" fontId="0" fillId="0" borderId="0" xfId="0" applyAlignment="1"/>
    <xf numFmtId="0" fontId="16" fillId="0" borderId="28" xfId="0" applyFont="1" applyBorder="1" applyAlignment="1">
      <alignment horizontal="center" vertical="center" wrapText="1"/>
    </xf>
    <xf numFmtId="0" fontId="16" fillId="0" borderId="26" xfId="0" applyFont="1" applyBorder="1" applyAlignment="1">
      <alignment horizontal="center" vertical="center" wrapText="1"/>
    </xf>
    <xf numFmtId="0" fontId="17" fillId="0" borderId="42" xfId="0" applyFont="1" applyBorder="1" applyAlignment="1">
      <alignment horizontal="center" vertical="center" wrapText="1"/>
    </xf>
    <xf numFmtId="0" fontId="0" fillId="0" borderId="54" xfId="0" applyBorder="1" applyAlignment="1">
      <alignment horizontal="center" vertical="center" wrapText="1"/>
    </xf>
    <xf numFmtId="0" fontId="1" fillId="4" borderId="45" xfId="0" applyFont="1" applyFill="1" applyBorder="1" applyAlignment="1">
      <alignment horizontal="center" vertical="center" wrapText="1"/>
    </xf>
    <xf numFmtId="0" fontId="0" fillId="4" borderId="45" xfId="0" applyFill="1" applyBorder="1" applyAlignment="1"/>
    <xf numFmtId="0" fontId="0" fillId="4" borderId="45" xfId="0" applyFont="1" applyFill="1" applyBorder="1" applyAlignment="1">
      <alignment horizontal="left" vertical="center" wrapText="1"/>
    </xf>
    <xf numFmtId="0" fontId="13" fillId="4" borderId="45"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Work\Griffin\Power_Characterization\BF60x_Power_Estimation_Tool_Rev03_11-05-201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WORK\Post%20Silicon%20Validation\Griffin%20Validation\Power%20Estimation%20AppNote\SC58xx_Power_Estimation_Tool_Rev07-22-2015.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Work\Griffin\Power_Characterization\SC58x_Power_Estimation_Too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wer Estimation"/>
      <sheetName val="DMA Data Rate"/>
      <sheetName val="Typical Static Current"/>
      <sheetName val="Maximum Static Current"/>
      <sheetName val="Dynamic Current"/>
      <sheetName val="Dynamic Scaling Factors"/>
      <sheetName val="ClockSpecs"/>
      <sheetName val="Supporting Tables"/>
    </sheetNames>
    <sheetDataSet>
      <sheetData sheetId="0" refreshError="1"/>
      <sheetData sheetId="1" refreshError="1"/>
      <sheetData sheetId="2" refreshError="1">
        <row r="5">
          <cell r="D5">
            <v>1.19</v>
          </cell>
          <cell r="E5">
            <v>1.2</v>
          </cell>
          <cell r="F5">
            <v>1.2250000000000001</v>
          </cell>
          <cell r="G5">
            <v>1.25</v>
          </cell>
          <cell r="H5">
            <v>1.2749999999999999</v>
          </cell>
          <cell r="I5">
            <v>1.3</v>
          </cell>
          <cell r="J5">
            <v>1.32</v>
          </cell>
        </row>
        <row r="6">
          <cell r="C6">
            <v>-40</v>
          </cell>
          <cell r="D6">
            <v>0.57850000000000001</v>
          </cell>
          <cell r="E6">
            <v>0.625</v>
          </cell>
          <cell r="F6">
            <v>0.71799999999999997</v>
          </cell>
          <cell r="G6">
            <v>0.86899999999999999</v>
          </cell>
          <cell r="H6">
            <v>0.95799999999999996</v>
          </cell>
          <cell r="I6">
            <v>1.104123</v>
          </cell>
          <cell r="J6">
            <v>1.1687000000000001</v>
          </cell>
        </row>
        <row r="7">
          <cell r="C7">
            <v>-20</v>
          </cell>
          <cell r="D7">
            <v>1.086417282127031</v>
          </cell>
          <cell r="E7">
            <v>1.1785376692489999</v>
          </cell>
          <cell r="F7">
            <v>1.3112318211875</v>
          </cell>
          <cell r="G7">
            <v>1.40981237433193</v>
          </cell>
          <cell r="H7">
            <v>1.5322134485255601</v>
          </cell>
          <cell r="I7">
            <v>1.6620782504731</v>
          </cell>
          <cell r="J7">
            <v>1.8166249003186501</v>
          </cell>
        </row>
        <row r="8">
          <cell r="C8">
            <v>0</v>
          </cell>
          <cell r="D8">
            <v>1.9619527326440176</v>
          </cell>
          <cell r="E8">
            <v>2.1451234447330001</v>
          </cell>
          <cell r="F8">
            <v>2.2819992345126998</v>
          </cell>
          <cell r="G8">
            <v>2.5182312345928999</v>
          </cell>
          <cell r="H8">
            <v>2.8148858612200001</v>
          </cell>
          <cell r="I8">
            <v>3.1821599865439998</v>
          </cell>
          <cell r="J8">
            <v>3.3787741934410001</v>
          </cell>
        </row>
        <row r="9">
          <cell r="C9">
            <v>25</v>
          </cell>
          <cell r="D9">
            <v>4.0609999999999999</v>
          </cell>
          <cell r="E9">
            <v>4.2309999999999999</v>
          </cell>
          <cell r="F9">
            <v>4.4540251107828652</v>
          </cell>
          <cell r="G9">
            <v>5.0999999999999996</v>
          </cell>
          <cell r="H9">
            <v>5.4390000000000001</v>
          </cell>
          <cell r="I9">
            <v>5.9210000000000003</v>
          </cell>
          <cell r="J9">
            <v>6.2785714285714285</v>
          </cell>
        </row>
        <row r="10">
          <cell r="C10">
            <v>40</v>
          </cell>
          <cell r="D10">
            <v>6.8981189069423934</v>
          </cell>
          <cell r="E10">
            <v>7.307237813884786</v>
          </cell>
          <cell r="F10">
            <v>7.384453471196454</v>
          </cell>
          <cell r="G10">
            <v>8.3731905465288037</v>
          </cell>
          <cell r="H10">
            <v>8.4880723781388472</v>
          </cell>
          <cell r="I10">
            <v>9.218</v>
          </cell>
          <cell r="J10">
            <v>9.7450643776824037</v>
          </cell>
        </row>
        <row r="11">
          <cell r="C11">
            <v>55</v>
          </cell>
          <cell r="D11">
            <v>10.888976366322009</v>
          </cell>
          <cell r="E11">
            <v>11.265952732644017</v>
          </cell>
          <cell r="F11">
            <v>11.761262924667651</v>
          </cell>
          <cell r="G11">
            <v>12.59745199409158</v>
          </cell>
          <cell r="H11">
            <v>13.360192023633676</v>
          </cell>
          <cell r="I11">
            <v>13.853618906942392</v>
          </cell>
          <cell r="J11">
            <v>14.459023354564756</v>
          </cell>
        </row>
        <row r="12">
          <cell r="C12">
            <v>70</v>
          </cell>
          <cell r="D12">
            <v>17.570607090103397</v>
          </cell>
          <cell r="E12">
            <v>18.040214180206796</v>
          </cell>
          <cell r="F12">
            <v>18.382976366322008</v>
          </cell>
          <cell r="G12">
            <v>19.754025110782866</v>
          </cell>
          <cell r="H12">
            <v>21.352954209748894</v>
          </cell>
          <cell r="I12">
            <v>21.961262924667651</v>
          </cell>
          <cell r="J12">
            <v>23.426076555023926</v>
          </cell>
        </row>
        <row r="13">
          <cell r="C13">
            <v>85</v>
          </cell>
          <cell r="D13">
            <v>26.528286558345641</v>
          </cell>
          <cell r="E13">
            <v>27.251477104874446</v>
          </cell>
          <cell r="F13">
            <v>28.812740029542095</v>
          </cell>
          <cell r="G13">
            <v>30.562333825701618</v>
          </cell>
          <cell r="H13">
            <v>32.46635893648449</v>
          </cell>
          <cell r="I13">
            <v>33.607644017725256</v>
          </cell>
          <cell r="J13">
            <v>35.896578947368425</v>
          </cell>
        </row>
        <row r="14">
          <cell r="C14">
            <v>100</v>
          </cell>
          <cell r="D14">
            <v>39.849870753323486</v>
          </cell>
          <cell r="E14">
            <v>40.877215657311666</v>
          </cell>
          <cell r="F14">
            <v>43.009121122599701</v>
          </cell>
          <cell r="G14">
            <v>46.110999999999997</v>
          </cell>
          <cell r="H14">
            <v>48.100999999999999</v>
          </cell>
          <cell r="I14">
            <v>50.354025110782864</v>
          </cell>
          <cell r="J14">
            <v>53.311538461538461</v>
          </cell>
        </row>
        <row r="15">
          <cell r="C15">
            <v>105</v>
          </cell>
          <cell r="D15">
            <v>45.697370014771053</v>
          </cell>
          <cell r="E15">
            <v>46.6627400295421</v>
          </cell>
          <cell r="F15">
            <v>49.099741506646971</v>
          </cell>
          <cell r="G15">
            <v>52.921999999999997</v>
          </cell>
          <cell r="H15">
            <v>55.226144756277691</v>
          </cell>
          <cell r="I15">
            <v>58.233788774002953</v>
          </cell>
          <cell r="J15">
            <v>61.792897727272724</v>
          </cell>
        </row>
        <row r="16">
          <cell r="C16">
            <v>115</v>
          </cell>
          <cell r="D16">
            <v>60.231037666174295</v>
          </cell>
          <cell r="E16">
            <v>61.619977843426881</v>
          </cell>
          <cell r="F16">
            <v>64.78016986706055</v>
          </cell>
          <cell r="G16">
            <v>68.168242245199409</v>
          </cell>
          <cell r="H16">
            <v>71.782311669128504</v>
          </cell>
          <cell r="I16">
            <v>75.475480059084191</v>
          </cell>
          <cell r="J16">
            <v>79.747647058823532</v>
          </cell>
        </row>
        <row r="17">
          <cell r="C17">
            <v>125</v>
          </cell>
          <cell r="D17">
            <v>78.139420236336775</v>
          </cell>
          <cell r="E17">
            <v>79.737407680945338</v>
          </cell>
          <cell r="F17">
            <v>84.229098966026584</v>
          </cell>
          <cell r="G17">
            <v>87.617171344165442</v>
          </cell>
          <cell r="H17">
            <v>92.982717872968976</v>
          </cell>
          <cell r="I17">
            <v>97.854837518463796</v>
          </cell>
          <cell r="J17">
            <v>101.99406249999998</v>
          </cell>
        </row>
      </sheetData>
      <sheetData sheetId="3" refreshError="1">
        <row r="5">
          <cell r="D5">
            <v>1.19</v>
          </cell>
          <cell r="E5">
            <v>1.2</v>
          </cell>
          <cell r="F5">
            <v>1.2250000000000001</v>
          </cell>
          <cell r="G5">
            <v>1.25</v>
          </cell>
          <cell r="H5">
            <v>1.2749999999999999</v>
          </cell>
          <cell r="I5">
            <v>1.3</v>
          </cell>
          <cell r="J5">
            <v>1.32</v>
          </cell>
        </row>
        <row r="6">
          <cell r="C6">
            <v>-40</v>
          </cell>
          <cell r="D6">
            <v>1.6980000000000002</v>
          </cell>
          <cell r="E6">
            <v>1.8</v>
          </cell>
          <cell r="F6">
            <v>2.2000000000000002</v>
          </cell>
          <cell r="G6">
            <v>2.5</v>
          </cell>
          <cell r="H6">
            <v>2.7</v>
          </cell>
          <cell r="I6">
            <v>3.1</v>
          </cell>
          <cell r="J6">
            <v>3.4</v>
          </cell>
        </row>
        <row r="7">
          <cell r="C7">
            <v>-20</v>
          </cell>
          <cell r="D7">
            <v>4.0110000000000001</v>
          </cell>
          <cell r="E7">
            <v>4.2</v>
          </cell>
          <cell r="F7">
            <v>4.5999999999999996</v>
          </cell>
          <cell r="G7">
            <v>5.0999999999999996</v>
          </cell>
          <cell r="H7">
            <v>5.6</v>
          </cell>
          <cell r="I7">
            <v>6.2</v>
          </cell>
          <cell r="J7">
            <v>6.8</v>
          </cell>
        </row>
        <row r="8">
          <cell r="C8">
            <v>0</v>
          </cell>
          <cell r="D8">
            <v>8.4</v>
          </cell>
          <cell r="E8">
            <v>9</v>
          </cell>
          <cell r="F8">
            <v>9.6</v>
          </cell>
          <cell r="G8">
            <v>10.6</v>
          </cell>
          <cell r="H8">
            <v>11.5</v>
          </cell>
          <cell r="I8">
            <v>12.5</v>
          </cell>
          <cell r="J8">
            <v>13.4</v>
          </cell>
        </row>
        <row r="9">
          <cell r="C9">
            <v>25</v>
          </cell>
          <cell r="D9">
            <v>19</v>
          </cell>
          <cell r="E9">
            <v>19.8</v>
          </cell>
          <cell r="F9">
            <v>21.5</v>
          </cell>
          <cell r="G9">
            <v>23.2</v>
          </cell>
          <cell r="H9">
            <v>25.3</v>
          </cell>
          <cell r="I9">
            <v>27.2</v>
          </cell>
          <cell r="J9">
            <v>29</v>
          </cell>
        </row>
        <row r="10">
          <cell r="C10">
            <v>40</v>
          </cell>
          <cell r="D10">
            <v>29.9</v>
          </cell>
          <cell r="E10">
            <v>31.7</v>
          </cell>
          <cell r="F10">
            <v>34.4</v>
          </cell>
          <cell r="G10">
            <v>36.799999999999997</v>
          </cell>
          <cell r="H10">
            <v>40</v>
          </cell>
          <cell r="I10">
            <v>42.8</v>
          </cell>
          <cell r="J10">
            <v>45.4</v>
          </cell>
        </row>
        <row r="11">
          <cell r="C11">
            <v>55</v>
          </cell>
          <cell r="D11">
            <v>46.6</v>
          </cell>
          <cell r="E11">
            <v>48.9</v>
          </cell>
          <cell r="F11">
            <v>52.4</v>
          </cell>
          <cell r="G11">
            <v>56.4</v>
          </cell>
          <cell r="H11">
            <v>60.6</v>
          </cell>
          <cell r="I11">
            <v>65</v>
          </cell>
          <cell r="J11">
            <v>68.099999999999994</v>
          </cell>
        </row>
        <row r="12">
          <cell r="C12">
            <v>70</v>
          </cell>
          <cell r="D12">
            <v>66.400000000000006</v>
          </cell>
          <cell r="E12">
            <v>70.400000000000006</v>
          </cell>
          <cell r="F12">
            <v>75.5</v>
          </cell>
          <cell r="G12">
            <v>80.599999999999994</v>
          </cell>
          <cell r="H12">
            <v>86.2</v>
          </cell>
          <cell r="I12">
            <v>92.4</v>
          </cell>
          <cell r="J12">
            <v>97.9</v>
          </cell>
        </row>
        <row r="13">
          <cell r="C13">
            <v>85</v>
          </cell>
          <cell r="D13">
            <v>93.9</v>
          </cell>
          <cell r="E13">
            <v>99.3</v>
          </cell>
          <cell r="F13">
            <v>105.9</v>
          </cell>
          <cell r="G13">
            <v>113</v>
          </cell>
          <cell r="H13">
            <v>120.7</v>
          </cell>
          <cell r="I13">
            <v>128.9</v>
          </cell>
          <cell r="J13">
            <v>136.4</v>
          </cell>
        </row>
        <row r="14">
          <cell r="C14">
            <v>100</v>
          </cell>
          <cell r="D14">
            <v>137.19999999999999</v>
          </cell>
          <cell r="E14">
            <v>144.19999999999999</v>
          </cell>
          <cell r="F14">
            <v>153.6</v>
          </cell>
          <cell r="G14">
            <v>163.4</v>
          </cell>
          <cell r="H14">
            <v>173.9</v>
          </cell>
          <cell r="I14">
            <v>185.1</v>
          </cell>
          <cell r="J14">
            <v>194.1</v>
          </cell>
        </row>
        <row r="15">
          <cell r="C15">
            <v>105</v>
          </cell>
          <cell r="D15">
            <v>153.80000000000001</v>
          </cell>
          <cell r="E15">
            <v>162.4</v>
          </cell>
          <cell r="F15">
            <v>172.5</v>
          </cell>
          <cell r="G15">
            <v>183.4</v>
          </cell>
          <cell r="H15">
            <v>195.2</v>
          </cell>
          <cell r="I15">
            <v>207.5</v>
          </cell>
          <cell r="J15">
            <v>217.5</v>
          </cell>
        </row>
        <row r="16">
          <cell r="C16">
            <v>115</v>
          </cell>
          <cell r="D16">
            <v>193.3</v>
          </cell>
          <cell r="E16">
            <v>203.7</v>
          </cell>
          <cell r="F16">
            <v>216.2</v>
          </cell>
          <cell r="G16">
            <v>229.5</v>
          </cell>
          <cell r="H16">
            <v>243.9</v>
          </cell>
          <cell r="I16">
            <v>258.60000000000002</v>
          </cell>
          <cell r="J16">
            <v>271.10000000000002</v>
          </cell>
        </row>
        <row r="17">
          <cell r="C17">
            <v>125</v>
          </cell>
          <cell r="D17">
            <v>236.1</v>
          </cell>
          <cell r="E17">
            <v>247.2</v>
          </cell>
          <cell r="F17">
            <v>261.8</v>
          </cell>
          <cell r="G17">
            <v>277.3</v>
          </cell>
          <cell r="H17">
            <v>294</v>
          </cell>
          <cell r="I17">
            <v>311.89999999999998</v>
          </cell>
          <cell r="J17">
            <v>326.39999999999998</v>
          </cell>
        </row>
      </sheetData>
      <sheetData sheetId="4" refreshError="1">
        <row r="6">
          <cell r="C6">
            <v>500</v>
          </cell>
          <cell r="D6">
            <v>97.883925000000005</v>
          </cell>
          <cell r="E6">
            <v>98.8</v>
          </cell>
          <cell r="F6">
            <v>101.5</v>
          </cell>
          <cell r="G6">
            <v>103.9</v>
          </cell>
          <cell r="H6">
            <v>106.7</v>
          </cell>
          <cell r="I6">
            <v>109.3</v>
          </cell>
          <cell r="J6">
            <v>110.8</v>
          </cell>
        </row>
        <row r="7">
          <cell r="C7">
            <v>450</v>
          </cell>
          <cell r="D7">
            <v>88.629671774193554</v>
          </cell>
          <cell r="E7">
            <v>89.5</v>
          </cell>
          <cell r="F7">
            <v>91.9</v>
          </cell>
          <cell r="G7">
            <v>94.1</v>
          </cell>
          <cell r="H7">
            <v>96.7</v>
          </cell>
          <cell r="I7">
            <v>98.9</v>
          </cell>
          <cell r="J7">
            <v>100.6</v>
          </cell>
        </row>
        <row r="8">
          <cell r="C8">
            <v>400</v>
          </cell>
          <cell r="D8">
            <v>79.288905645161293</v>
          </cell>
          <cell r="E8">
            <v>80.099999999999994</v>
          </cell>
          <cell r="F8">
            <v>82.2</v>
          </cell>
          <cell r="G8">
            <v>84.3</v>
          </cell>
          <cell r="H8">
            <v>86.5</v>
          </cell>
          <cell r="I8">
            <v>88.6</v>
          </cell>
          <cell r="J8">
            <v>90.1</v>
          </cell>
        </row>
        <row r="9">
          <cell r="C9">
            <v>350</v>
          </cell>
          <cell r="D9">
            <v>69.975459274193568</v>
          </cell>
          <cell r="E9">
            <v>70.7</v>
          </cell>
          <cell r="F9">
            <v>72.5</v>
          </cell>
          <cell r="G9">
            <v>74.400000000000006</v>
          </cell>
          <cell r="H9">
            <v>76.3</v>
          </cell>
          <cell r="I9">
            <v>78.3</v>
          </cell>
          <cell r="J9">
            <v>79.400000000000006</v>
          </cell>
        </row>
        <row r="10">
          <cell r="C10">
            <v>300</v>
          </cell>
          <cell r="D10">
            <v>60.623948790322601</v>
          </cell>
          <cell r="E10">
            <v>61.2</v>
          </cell>
          <cell r="F10">
            <v>63</v>
          </cell>
          <cell r="G10">
            <v>64.599999999999994</v>
          </cell>
          <cell r="H10">
            <v>66.3</v>
          </cell>
          <cell r="I10">
            <v>68</v>
          </cell>
          <cell r="J10">
            <v>69.099999999999994</v>
          </cell>
        </row>
        <row r="11">
          <cell r="C11">
            <v>250</v>
          </cell>
          <cell r="D11">
            <v>51.282555241935484</v>
          </cell>
          <cell r="E11">
            <v>51.8</v>
          </cell>
          <cell r="F11">
            <v>53.2</v>
          </cell>
          <cell r="G11">
            <v>54.7</v>
          </cell>
          <cell r="H11">
            <v>56.3</v>
          </cell>
          <cell r="I11">
            <v>57.6</v>
          </cell>
          <cell r="J11">
            <v>58.5</v>
          </cell>
        </row>
        <row r="12">
          <cell r="C12">
            <v>200</v>
          </cell>
          <cell r="D12">
            <v>41.952318548387105</v>
          </cell>
          <cell r="E12">
            <v>42.4</v>
          </cell>
          <cell r="F12">
            <v>43.6</v>
          </cell>
          <cell r="G12">
            <v>44.8</v>
          </cell>
          <cell r="H12">
            <v>46</v>
          </cell>
          <cell r="I12">
            <v>47.2</v>
          </cell>
          <cell r="J12">
            <v>48.2</v>
          </cell>
        </row>
        <row r="13">
          <cell r="C13">
            <v>150</v>
          </cell>
          <cell r="D13">
            <v>32.542851209677423</v>
          </cell>
          <cell r="E13">
            <v>32.9</v>
          </cell>
          <cell r="F13">
            <v>34</v>
          </cell>
          <cell r="G13">
            <v>34.799999999999997</v>
          </cell>
          <cell r="H13">
            <v>35.9</v>
          </cell>
          <cell r="I13">
            <v>37</v>
          </cell>
          <cell r="J13">
            <v>37.4</v>
          </cell>
        </row>
        <row r="14">
          <cell r="C14">
            <v>100</v>
          </cell>
          <cell r="D14">
            <v>23.235032258064521</v>
          </cell>
          <cell r="E14">
            <v>23.5</v>
          </cell>
          <cell r="F14">
            <v>24.2</v>
          </cell>
          <cell r="G14">
            <v>25</v>
          </cell>
          <cell r="H14">
            <v>25.7</v>
          </cell>
          <cell r="I14">
            <v>26.5</v>
          </cell>
          <cell r="J14">
            <v>26.9</v>
          </cell>
        </row>
      </sheetData>
      <sheetData sheetId="5" refreshError="1">
        <row r="4">
          <cell r="C4" t="str">
            <v>Full-on Peak</v>
          </cell>
          <cell r="D4">
            <v>1.34</v>
          </cell>
        </row>
        <row r="5">
          <cell r="C5" t="str">
            <v>Full-on High</v>
          </cell>
          <cell r="D5">
            <v>1.25</v>
          </cell>
        </row>
        <row r="6">
          <cell r="C6" t="str">
            <v>Full-on Typical</v>
          </cell>
          <cell r="D6">
            <v>1</v>
          </cell>
        </row>
        <row r="7">
          <cell r="C7" t="str">
            <v>Full-on App</v>
          </cell>
          <cell r="D7">
            <v>0.86</v>
          </cell>
        </row>
        <row r="8">
          <cell r="C8" t="str">
            <v>Full-on NOP</v>
          </cell>
          <cell r="D8">
            <v>0.72</v>
          </cell>
        </row>
        <row r="9">
          <cell r="C9" t="str">
            <v>Full-on Idle</v>
          </cell>
          <cell r="D9">
            <v>0.14000000000000001</v>
          </cell>
        </row>
        <row r="10">
          <cell r="C10" t="str">
            <v>Disabled</v>
          </cell>
          <cell r="D10">
            <v>0</v>
          </cell>
        </row>
      </sheetData>
      <sheetData sheetId="6" refreshError="1">
        <row r="4">
          <cell r="E4">
            <v>250</v>
          </cell>
        </row>
        <row r="5">
          <cell r="E5">
            <v>125</v>
          </cell>
        </row>
        <row r="6">
          <cell r="E6">
            <v>125</v>
          </cell>
        </row>
        <row r="7">
          <cell r="E7">
            <v>250</v>
          </cell>
        </row>
      </sheetData>
      <sheetData sheetId="7" refreshError="1">
        <row r="4">
          <cell r="B4" t="str">
            <v>Full-On</v>
          </cell>
        </row>
        <row r="5">
          <cell r="B5" t="str">
            <v>Hibernate (Typical)</v>
          </cell>
        </row>
        <row r="8">
          <cell r="B8" t="str">
            <v xml:space="preserve">YES </v>
          </cell>
          <cell r="C8">
            <v>5</v>
          </cell>
          <cell r="D8">
            <v>30</v>
          </cell>
        </row>
        <row r="9">
          <cell r="B9" t="str">
            <v>NO</v>
          </cell>
          <cell r="C9">
            <v>0</v>
          </cell>
          <cell r="D9">
            <v>0</v>
          </cell>
        </row>
        <row r="13">
          <cell r="B13" t="str">
            <v>High Activity</v>
          </cell>
          <cell r="C13">
            <v>42.424242424242422</v>
          </cell>
        </row>
        <row r="14">
          <cell r="B14" t="str">
            <v>Medium Activity</v>
          </cell>
          <cell r="C14">
            <v>20</v>
          </cell>
        </row>
        <row r="15">
          <cell r="B15" t="str">
            <v>NOT USED</v>
          </cell>
          <cell r="C15">
            <v>0</v>
          </cell>
        </row>
        <row r="22">
          <cell r="B22" t="str">
            <v>Maximum Power</v>
          </cell>
        </row>
        <row r="23">
          <cell r="B23" t="str">
            <v>Typical Power</v>
          </cell>
        </row>
        <row r="27">
          <cell r="B27" t="str">
            <v>BF60x</v>
          </cell>
        </row>
        <row r="30">
          <cell r="D30">
            <v>1.8</v>
          </cell>
          <cell r="E30">
            <v>1.9</v>
          </cell>
        </row>
        <row r="31">
          <cell r="D31">
            <v>3.3</v>
          </cell>
          <cell r="E31">
            <v>3.47</v>
          </cell>
        </row>
        <row r="32">
          <cell r="D32">
            <v>3.3</v>
          </cell>
          <cell r="E32">
            <v>3.47</v>
          </cell>
        </row>
        <row r="35">
          <cell r="C35">
            <v>4</v>
          </cell>
        </row>
        <row r="36">
          <cell r="C36">
            <v>8</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wer Estimation"/>
      <sheetName val="VDD_EXT Power Domain"/>
      <sheetName val="VDD_DMC Power Domain"/>
      <sheetName val="DMA Data Rate"/>
      <sheetName val="Typical Static Current"/>
      <sheetName val="Maximum Static Current"/>
      <sheetName val="Dynamic Current"/>
      <sheetName val="Dynamic Scaling Factors"/>
      <sheetName val="ClockSpecs"/>
      <sheetName val="Supporting Tables"/>
    </sheetNames>
    <sheetDataSet>
      <sheetData sheetId="0"/>
      <sheetData sheetId="1"/>
      <sheetData sheetId="2"/>
      <sheetData sheetId="3"/>
      <sheetData sheetId="4"/>
      <sheetData sheetId="5"/>
      <sheetData sheetId="6"/>
      <sheetData sheetId="7">
        <row r="5">
          <cell r="C5" t="str">
            <v>Full-on Peak</v>
          </cell>
          <cell r="D5">
            <v>1.34</v>
          </cell>
        </row>
        <row r="6">
          <cell r="C6" t="str">
            <v>Full-on High</v>
          </cell>
          <cell r="D6">
            <v>1.25</v>
          </cell>
        </row>
        <row r="7">
          <cell r="C7" t="str">
            <v>Full-on Typical</v>
          </cell>
          <cell r="D7">
            <v>1</v>
          </cell>
        </row>
        <row r="8">
          <cell r="C8" t="str">
            <v>Full-on App</v>
          </cell>
          <cell r="D8">
            <v>0.86</v>
          </cell>
        </row>
        <row r="9">
          <cell r="C9" t="str">
            <v>Full-on NOP</v>
          </cell>
          <cell r="D9">
            <v>0.72</v>
          </cell>
        </row>
        <row r="10">
          <cell r="C10" t="str">
            <v>Full-on Idle</v>
          </cell>
          <cell r="D10">
            <v>0.14000000000000001</v>
          </cell>
        </row>
        <row r="11">
          <cell r="C11" t="str">
            <v>Disabled</v>
          </cell>
          <cell r="D11">
            <v>0</v>
          </cell>
        </row>
      </sheetData>
      <sheetData sheetId="8"/>
      <sheetData sheetId="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wer Estimation"/>
      <sheetName val="VDD_EXT Power Domain"/>
      <sheetName val="VDD_DMC Power Domain"/>
      <sheetName val="DMA Data Rate"/>
      <sheetName val="Typical Static Current"/>
      <sheetName val="Maximum Static Current"/>
      <sheetName val="Dynamic Current"/>
      <sheetName val="Dynamic Scaling Factors"/>
      <sheetName val="ClockSpecs"/>
      <sheetName val="Supporting Tabl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2">
          <cell r="B22" t="str">
            <v>Maximum Power</v>
          </cell>
        </row>
        <row r="23">
          <cell r="B23" t="str">
            <v>Typical Power</v>
          </cell>
        </row>
        <row r="27">
          <cell r="B27" t="str">
            <v>BF60x</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2"/>
  <sheetViews>
    <sheetView showGridLines="0" tabSelected="1" zoomScale="85" zoomScaleNormal="85" workbookViewId="0">
      <selection sqref="A1:N1"/>
    </sheetView>
  </sheetViews>
  <sheetFormatPr defaultColWidth="9.109375" defaultRowHeight="14.4" x14ac:dyDescent="0.3"/>
  <cols>
    <col min="1" max="3" width="9.109375" style="1"/>
    <col min="4" max="4" width="26" style="1" customWidth="1"/>
    <col min="5" max="5" width="23.5546875" style="1" customWidth="1"/>
    <col min="6" max="6" width="7.44140625" style="1" customWidth="1"/>
    <col min="7" max="7" width="13.88671875" style="3" bestFit="1" customWidth="1"/>
    <col min="8" max="8" width="17.44140625" style="5" bestFit="1" customWidth="1"/>
    <col min="9" max="9" width="9.109375" style="1"/>
    <col min="10" max="10" width="18" style="3" customWidth="1"/>
    <col min="11" max="11" width="9.109375" style="3"/>
    <col min="12" max="12" width="12.6640625" style="9" customWidth="1"/>
    <col min="13" max="13" width="28.88671875" style="1" customWidth="1"/>
    <col min="14" max="16384" width="9.109375" style="1"/>
  </cols>
  <sheetData>
    <row r="1" spans="1:14" ht="25.8" x14ac:dyDescent="0.5">
      <c r="A1" s="215" t="s">
        <v>109</v>
      </c>
      <c r="B1" s="216"/>
      <c r="C1" s="216"/>
      <c r="D1" s="216"/>
      <c r="E1" s="216"/>
      <c r="F1" s="216"/>
      <c r="G1" s="216"/>
      <c r="H1" s="216"/>
      <c r="I1" s="216"/>
      <c r="J1" s="216"/>
      <c r="K1" s="216"/>
      <c r="L1" s="216"/>
      <c r="M1" s="216"/>
      <c r="N1" s="216"/>
    </row>
    <row r="2" spans="1:14" ht="18" x14ac:dyDescent="0.35">
      <c r="A2" s="218" t="s">
        <v>108</v>
      </c>
      <c r="B2" s="218"/>
      <c r="C2" s="218"/>
      <c r="D2" s="218"/>
      <c r="E2" s="218"/>
      <c r="F2" s="218"/>
      <c r="G2" s="218"/>
      <c r="H2" s="218"/>
      <c r="I2" s="218"/>
      <c r="J2" s="217" t="s">
        <v>0</v>
      </c>
      <c r="K2" s="217"/>
      <c r="L2" s="217"/>
      <c r="M2" s="217"/>
    </row>
    <row r="3" spans="1:14" x14ac:dyDescent="0.3">
      <c r="J3" s="221"/>
      <c r="K3" s="221"/>
      <c r="L3" s="221"/>
      <c r="M3" s="221"/>
    </row>
    <row r="4" spans="1:14" ht="50.25" customHeight="1" x14ac:dyDescent="0.3">
      <c r="A4" s="174" t="s">
        <v>1</v>
      </c>
      <c r="B4" s="175"/>
      <c r="C4" s="176"/>
      <c r="D4" s="222" t="s">
        <v>100</v>
      </c>
      <c r="E4" s="223"/>
      <c r="F4" s="224"/>
      <c r="G4" s="1"/>
      <c r="H4" s="4"/>
      <c r="J4" s="221"/>
      <c r="K4" s="221"/>
      <c r="L4" s="221"/>
      <c r="M4" s="221"/>
    </row>
    <row r="7" spans="1:14" ht="15" thickBot="1" x14ac:dyDescent="0.35"/>
    <row r="8" spans="1:14" x14ac:dyDescent="0.3">
      <c r="B8" s="225" t="s">
        <v>92</v>
      </c>
      <c r="C8" s="26"/>
      <c r="D8" s="230" t="s">
        <v>29</v>
      </c>
      <c r="E8" s="230"/>
      <c r="F8" s="230"/>
      <c r="G8" s="230"/>
      <c r="H8" s="35" t="s">
        <v>28</v>
      </c>
      <c r="J8" s="220" t="s">
        <v>13</v>
      </c>
      <c r="K8" s="220"/>
      <c r="M8" s="10" t="s">
        <v>36</v>
      </c>
      <c r="N8" s="8" t="s">
        <v>37</v>
      </c>
    </row>
    <row r="9" spans="1:14" ht="15.6" x14ac:dyDescent="0.35">
      <c r="B9" s="226"/>
      <c r="C9" s="29"/>
      <c r="D9" s="219" t="s">
        <v>2</v>
      </c>
      <c r="E9" s="219"/>
      <c r="F9" s="219"/>
      <c r="G9" s="8">
        <v>450</v>
      </c>
      <c r="H9" s="52">
        <f>E37 * 0.68 * $K$9 * $G9</f>
        <v>339.02352000000002</v>
      </c>
      <c r="J9" s="7" t="s">
        <v>93</v>
      </c>
      <c r="K9" s="8">
        <v>1.1000000000000001</v>
      </c>
      <c r="M9" s="10" t="s">
        <v>38</v>
      </c>
      <c r="N9" s="64">
        <f>IF(EXACT(N8, "Typical"),INDEX( 'VDD_INT Typical Static Current'!F6:N20,MATCH('Power Estimation'!K10,Temperature,0), MATCH('Power Estimation'!K9,VDD_INT,0)), INDEX( 'VDD_INT Maximum Static Current'!H9:P23,MATCH('Power Estimation'!K10,Temperature,0), MATCH('Power Estimation'!K9,VDD_INT,0)) )</f>
        <v>152</v>
      </c>
    </row>
    <row r="10" spans="1:14" ht="15.6" x14ac:dyDescent="0.35">
      <c r="B10" s="226"/>
      <c r="C10" s="29"/>
      <c r="D10" s="173" t="s">
        <v>167</v>
      </c>
      <c r="E10" s="173"/>
      <c r="F10" s="173"/>
      <c r="G10" s="8">
        <v>450</v>
      </c>
      <c r="H10" s="52">
        <f>E48 * 0.68 * $K$9 * $G10</f>
        <v>336.6</v>
      </c>
      <c r="J10" s="7" t="s">
        <v>12</v>
      </c>
      <c r="K10" s="8">
        <v>70</v>
      </c>
      <c r="M10" s="228" t="str">
        <f>IF(N8="Typical","Warning: Typical current is in the middle of the process distribution. A significant number of devices will exceed typical currents. For system analysis, use maximum power numbers.", "")</f>
        <v/>
      </c>
      <c r="N10" s="228"/>
    </row>
    <row r="11" spans="1:14" x14ac:dyDescent="0.3">
      <c r="B11" s="226"/>
      <c r="C11" s="29"/>
      <c r="D11" s="173" t="s">
        <v>3</v>
      </c>
      <c r="E11" s="173"/>
      <c r="F11" s="173"/>
      <c r="G11" s="8">
        <v>450</v>
      </c>
      <c r="H11" s="52">
        <f xml:space="preserve"> E26 * 0.15 * $K$9 * $G11</f>
        <v>65.933999999999997</v>
      </c>
      <c r="M11" s="229"/>
      <c r="N11" s="229"/>
    </row>
    <row r="12" spans="1:14" x14ac:dyDescent="0.3">
      <c r="B12" s="226"/>
      <c r="C12" s="29"/>
      <c r="D12" s="173" t="s">
        <v>4</v>
      </c>
      <c r="E12" s="173"/>
      <c r="F12" s="173"/>
      <c r="G12" s="8">
        <v>225</v>
      </c>
      <c r="H12" s="52">
        <f xml:space="preserve"> 0.78 * K9 * G12</f>
        <v>193.05</v>
      </c>
      <c r="M12" s="229"/>
      <c r="N12" s="229"/>
    </row>
    <row r="13" spans="1:14" x14ac:dyDescent="0.3">
      <c r="B13" s="226"/>
      <c r="C13" s="29"/>
      <c r="D13" s="173" t="s">
        <v>5</v>
      </c>
      <c r="E13" s="173"/>
      <c r="F13" s="173"/>
      <c r="G13" s="8">
        <v>112.5</v>
      </c>
      <c r="H13" s="52">
        <f>0.44 *K9* G13</f>
        <v>54.45</v>
      </c>
      <c r="M13" s="229"/>
      <c r="N13" s="229"/>
    </row>
    <row r="14" spans="1:14" x14ac:dyDescent="0.3">
      <c r="B14" s="226"/>
      <c r="C14" s="29"/>
      <c r="D14" s="173" t="s">
        <v>6</v>
      </c>
      <c r="E14" s="173"/>
      <c r="F14" s="173"/>
      <c r="G14" s="8">
        <v>56.25</v>
      </c>
      <c r="H14" s="52">
        <f>0.06*K9*G14</f>
        <v>3.7125000000000004</v>
      </c>
      <c r="M14" s="229"/>
      <c r="N14" s="229"/>
    </row>
    <row r="15" spans="1:14" ht="15" thickBot="1" x14ac:dyDescent="0.35">
      <c r="B15" s="226"/>
      <c r="C15" s="29"/>
      <c r="D15" s="173" t="s">
        <v>7</v>
      </c>
      <c r="E15" s="173"/>
      <c r="F15" s="173"/>
      <c r="G15" s="8">
        <v>400</v>
      </c>
      <c r="H15" s="52">
        <f>0.14*K9*G15</f>
        <v>61.600000000000009</v>
      </c>
    </row>
    <row r="16" spans="1:14" x14ac:dyDescent="0.3">
      <c r="B16" s="226"/>
      <c r="C16" s="29"/>
      <c r="D16" s="177" t="s">
        <v>41</v>
      </c>
      <c r="E16" s="178"/>
      <c r="F16" s="179"/>
      <c r="G16" s="8">
        <v>225</v>
      </c>
      <c r="H16" s="52">
        <f>0.02*K9*G16</f>
        <v>4.95</v>
      </c>
      <c r="J16" s="58"/>
      <c r="K16" s="59"/>
      <c r="L16" s="60"/>
    </row>
    <row r="17" spans="2:13" ht="15.6" x14ac:dyDescent="0.35">
      <c r="B17" s="226"/>
      <c r="C17" s="29"/>
      <c r="D17" s="173" t="s">
        <v>90</v>
      </c>
      <c r="E17" s="173"/>
      <c r="F17" s="173"/>
      <c r="G17" s="8" t="s">
        <v>69</v>
      </c>
      <c r="H17" s="52">
        <f>VLOOKUP(G17, DMA_Usage!C4:I6, 3, FALSE)</f>
        <v>82</v>
      </c>
      <c r="J17" s="202" t="s">
        <v>94</v>
      </c>
      <c r="K17" s="203"/>
      <c r="L17" s="53">
        <f>((H18+H58) * K9 ) / 1000</f>
        <v>1.3641320220000002</v>
      </c>
    </row>
    <row r="18" spans="2:13" ht="15.6" x14ac:dyDescent="0.35">
      <c r="B18" s="226"/>
      <c r="C18" s="29"/>
      <c r="D18" s="201" t="s">
        <v>30</v>
      </c>
      <c r="E18" s="201"/>
      <c r="F18" s="201"/>
      <c r="G18" s="201"/>
      <c r="H18" s="123">
        <f>SUM(H9:H17)</f>
        <v>1141.3200200000001</v>
      </c>
      <c r="J18" s="204" t="s">
        <v>95</v>
      </c>
      <c r="K18" s="205"/>
      <c r="L18" s="54">
        <f>N9*K9/1000</f>
        <v>0.16720000000000002</v>
      </c>
    </row>
    <row r="19" spans="2:13" x14ac:dyDescent="0.3">
      <c r="B19" s="226"/>
      <c r="C19" s="29"/>
      <c r="D19" s="29"/>
      <c r="E19" s="29"/>
      <c r="F19" s="29"/>
      <c r="G19" s="30"/>
      <c r="H19" s="31"/>
      <c r="J19" s="206" t="s">
        <v>96</v>
      </c>
      <c r="K19" s="207"/>
      <c r="L19" s="199">
        <f>L17+L18</f>
        <v>1.5313320220000002</v>
      </c>
    </row>
    <row r="20" spans="2:13" x14ac:dyDescent="0.3">
      <c r="B20" s="226"/>
      <c r="C20" s="29"/>
      <c r="D20" s="29"/>
      <c r="E20" s="29"/>
      <c r="F20" s="29"/>
      <c r="G20" s="30"/>
      <c r="H20" s="31"/>
      <c r="J20" s="208"/>
      <c r="K20" s="209"/>
      <c r="L20" s="200"/>
    </row>
    <row r="21" spans="2:13" ht="15" thickBot="1" x14ac:dyDescent="0.35">
      <c r="B21" s="226"/>
      <c r="C21" s="29"/>
      <c r="D21" s="213" t="s">
        <v>98</v>
      </c>
      <c r="E21" s="213"/>
      <c r="F21" s="29"/>
      <c r="G21" s="30"/>
      <c r="H21" s="31"/>
      <c r="J21" s="61"/>
      <c r="K21" s="62"/>
      <c r="L21" s="63"/>
    </row>
    <row r="22" spans="2:13" ht="30" customHeight="1" x14ac:dyDescent="0.3">
      <c r="B22" s="226"/>
      <c r="C22" s="29"/>
      <c r="D22" s="6" t="s">
        <v>65</v>
      </c>
      <c r="E22" s="43" t="s">
        <v>66</v>
      </c>
      <c r="F22" s="29"/>
      <c r="G22" s="30"/>
      <c r="H22" s="31"/>
      <c r="J22" s="1"/>
      <c r="K22" s="1"/>
      <c r="L22" s="1"/>
    </row>
    <row r="23" spans="2:13" x14ac:dyDescent="0.3">
      <c r="B23" s="226"/>
      <c r="C23" s="29"/>
      <c r="D23" s="45" t="s">
        <v>71</v>
      </c>
      <c r="E23" s="46">
        <v>0</v>
      </c>
      <c r="F23" s="29"/>
      <c r="G23" s="30"/>
      <c r="H23" s="31"/>
      <c r="J23" s="1"/>
      <c r="K23" s="1"/>
      <c r="L23" s="1"/>
    </row>
    <row r="24" spans="2:13" x14ac:dyDescent="0.3">
      <c r="B24" s="226"/>
      <c r="C24" s="29"/>
      <c r="D24" s="2" t="s">
        <v>16</v>
      </c>
      <c r="E24" s="8">
        <v>0.35</v>
      </c>
      <c r="F24" s="29"/>
      <c r="G24" s="30"/>
      <c r="H24" s="31"/>
      <c r="J24" s="190" t="s">
        <v>97</v>
      </c>
      <c r="K24" s="191"/>
      <c r="L24" s="192"/>
      <c r="M24" s="210">
        <f>L19+H63+H70+(H76+H77+H78+H79+H80)/1000</f>
        <v>1.8321112058125002</v>
      </c>
    </row>
    <row r="25" spans="2:13" ht="15" customHeight="1" x14ac:dyDescent="0.3">
      <c r="B25" s="226"/>
      <c r="C25" s="29"/>
      <c r="D25" s="2" t="s">
        <v>20</v>
      </c>
      <c r="E25" s="8">
        <v>0.65</v>
      </c>
      <c r="F25" s="29"/>
      <c r="G25" s="30"/>
      <c r="H25" s="31"/>
      <c r="J25" s="193"/>
      <c r="K25" s="194"/>
      <c r="L25" s="195"/>
      <c r="M25" s="211"/>
    </row>
    <row r="26" spans="2:13" ht="15" customHeight="1" x14ac:dyDescent="0.3">
      <c r="B26" s="226"/>
      <c r="C26" s="29"/>
      <c r="D26" s="6" t="s">
        <v>67</v>
      </c>
      <c r="E26" s="123">
        <f>VLOOKUP(D23, ActivityFactorARM1, 2, FALSE)*E23+VLOOKUP(D24, ActivityFactorARM1, 2, FALSE)*E24 + VLOOKUP(D25, ActivityFactorARM1, 2, FALSE)*E25</f>
        <v>0.88800000000000001</v>
      </c>
      <c r="F26" s="29"/>
      <c r="G26" s="30"/>
      <c r="H26" s="31"/>
      <c r="J26" s="193"/>
      <c r="K26" s="194"/>
      <c r="L26" s="195"/>
      <c r="M26" s="211"/>
    </row>
    <row r="27" spans="2:13" x14ac:dyDescent="0.3">
      <c r="B27" s="226"/>
      <c r="C27" s="29"/>
      <c r="D27" s="29"/>
      <c r="E27" s="29"/>
      <c r="F27" s="29"/>
      <c r="G27" s="30"/>
      <c r="H27" s="31"/>
      <c r="J27" s="196"/>
      <c r="K27" s="197"/>
      <c r="L27" s="198"/>
      <c r="M27" s="212"/>
    </row>
    <row r="28" spans="2:13" x14ac:dyDescent="0.3">
      <c r="B28" s="226"/>
      <c r="C28" s="29"/>
      <c r="D28" s="213" t="s">
        <v>168</v>
      </c>
      <c r="E28" s="213"/>
      <c r="F28" s="29"/>
      <c r="G28" s="30"/>
      <c r="H28" s="31"/>
      <c r="J28" s="44"/>
      <c r="K28" s="44"/>
      <c r="L28" s="44"/>
      <c r="M28" s="29"/>
    </row>
    <row r="29" spans="2:13" ht="30" customHeight="1" x14ac:dyDescent="0.3">
      <c r="B29" s="226"/>
      <c r="C29" s="29"/>
      <c r="D29" s="6" t="s">
        <v>65</v>
      </c>
      <c r="E29" s="43" t="s">
        <v>66</v>
      </c>
      <c r="F29" s="29"/>
      <c r="G29" s="30"/>
      <c r="H29" s="31"/>
      <c r="J29" s="44"/>
      <c r="K29" s="44"/>
      <c r="L29" s="44"/>
      <c r="M29" s="29"/>
    </row>
    <row r="30" spans="2:13" ht="17.25" customHeight="1" x14ac:dyDescent="0.3">
      <c r="B30" s="226"/>
      <c r="C30" s="29"/>
      <c r="D30" s="45" t="s">
        <v>71</v>
      </c>
      <c r="E30" s="46">
        <v>0</v>
      </c>
      <c r="F30" s="29"/>
      <c r="G30" s="30"/>
      <c r="H30" s="31"/>
      <c r="J30" s="44"/>
      <c r="K30" s="44"/>
      <c r="L30" s="44"/>
      <c r="M30" s="29"/>
    </row>
    <row r="31" spans="2:13" ht="15" customHeight="1" x14ac:dyDescent="0.3">
      <c r="B31" s="226"/>
      <c r="C31" s="29"/>
      <c r="D31" s="2" t="s">
        <v>16</v>
      </c>
      <c r="E31" s="8">
        <v>0.16</v>
      </c>
      <c r="F31" s="29"/>
      <c r="G31" s="30"/>
      <c r="H31" s="31"/>
      <c r="J31"/>
      <c r="K31"/>
      <c r="L31"/>
    </row>
    <row r="32" spans="2:13" ht="15" customHeight="1" x14ac:dyDescent="0.3">
      <c r="B32" s="226"/>
      <c r="C32" s="29"/>
      <c r="D32" s="2" t="s">
        <v>17</v>
      </c>
      <c r="E32" s="8">
        <v>0</v>
      </c>
      <c r="F32" s="29"/>
      <c r="G32" s="30"/>
      <c r="H32" s="31"/>
      <c r="J32"/>
      <c r="K32"/>
      <c r="L32"/>
    </row>
    <row r="33" spans="2:12" ht="15" customHeight="1" x14ac:dyDescent="0.3">
      <c r="B33" s="226"/>
      <c r="C33" s="29"/>
      <c r="D33" s="2" t="s">
        <v>18</v>
      </c>
      <c r="E33" s="8">
        <v>0</v>
      </c>
      <c r="F33" s="29"/>
      <c r="G33" s="30"/>
      <c r="H33" s="31"/>
      <c r="J33"/>
      <c r="K33"/>
      <c r="L33"/>
    </row>
    <row r="34" spans="2:12" ht="15" customHeight="1" x14ac:dyDescent="0.3">
      <c r="B34" s="226"/>
      <c r="C34" s="29"/>
      <c r="D34" s="2" t="s">
        <v>19</v>
      </c>
      <c r="E34" s="8">
        <v>0</v>
      </c>
      <c r="F34" s="29"/>
      <c r="G34" s="30"/>
      <c r="H34" s="31"/>
      <c r="J34"/>
      <c r="K34"/>
      <c r="L34"/>
    </row>
    <row r="35" spans="2:12" ht="15" customHeight="1" x14ac:dyDescent="0.3">
      <c r="B35" s="226"/>
      <c r="C35" s="29"/>
      <c r="D35" s="2" t="s">
        <v>21</v>
      </c>
      <c r="E35" s="8">
        <v>0</v>
      </c>
      <c r="F35" s="29"/>
      <c r="G35" s="30"/>
      <c r="H35" s="31"/>
      <c r="J35"/>
      <c r="K35"/>
      <c r="L35"/>
    </row>
    <row r="36" spans="2:12" ht="15" customHeight="1" x14ac:dyDescent="0.3">
      <c r="B36" s="226"/>
      <c r="C36" s="29"/>
      <c r="D36" s="2" t="s">
        <v>20</v>
      </c>
      <c r="E36" s="8">
        <v>0.84</v>
      </c>
      <c r="F36" s="29"/>
      <c r="G36" s="30"/>
      <c r="H36" s="31"/>
      <c r="J36"/>
      <c r="K36"/>
      <c r="L36"/>
    </row>
    <row r="37" spans="2:12" ht="15" customHeight="1" x14ac:dyDescent="0.3">
      <c r="B37" s="226"/>
      <c r="C37" s="29"/>
      <c r="D37" s="6" t="s">
        <v>67</v>
      </c>
      <c r="E37" s="123">
        <f>VLOOKUP(D31, ActivityFactorSHARC, 2, FALSE)*E31 + VLOOKUP(D32, ActivityFactorSHARC, 2, FALSE)*E32 + VLOOKUP(D33, ActivityFactorSHARC, 2, FALSE)*E33 +VLOOKUP(D34, ActivityFactorSHARC, 2, FALSE)*E34 + VLOOKUP(D35, ActivityFactorSHARC, 2, FALSE)*E35 + VLOOKUP(D36, ActivityFactorSHARC, 2, FALSE)*E36</f>
        <v>1.0071999999999999</v>
      </c>
      <c r="F37" s="29"/>
      <c r="G37" s="30"/>
      <c r="H37" s="31"/>
      <c r="J37"/>
      <c r="K37"/>
      <c r="L37"/>
    </row>
    <row r="38" spans="2:12" ht="15" customHeight="1" x14ac:dyDescent="0.3">
      <c r="B38" s="226"/>
      <c r="C38" s="29"/>
      <c r="D38" s="29"/>
      <c r="E38" s="29"/>
      <c r="F38" s="29"/>
      <c r="G38" s="30"/>
      <c r="H38" s="31"/>
      <c r="J38"/>
      <c r="K38"/>
      <c r="L38"/>
    </row>
    <row r="39" spans="2:12" ht="15" customHeight="1" x14ac:dyDescent="0.3">
      <c r="B39" s="226"/>
      <c r="C39" s="29"/>
      <c r="D39" s="214" t="s">
        <v>169</v>
      </c>
      <c r="E39" s="214"/>
      <c r="F39" s="29"/>
      <c r="G39" s="30"/>
      <c r="H39" s="31"/>
      <c r="J39"/>
      <c r="K39"/>
      <c r="L39"/>
    </row>
    <row r="40" spans="2:12" ht="30" customHeight="1" x14ac:dyDescent="0.3">
      <c r="B40" s="226"/>
      <c r="C40" s="29"/>
      <c r="D40" s="6" t="s">
        <v>65</v>
      </c>
      <c r="E40" s="43" t="s">
        <v>66</v>
      </c>
      <c r="F40" s="29"/>
      <c r="G40" s="30"/>
      <c r="H40" s="31"/>
      <c r="J40"/>
      <c r="K40"/>
      <c r="L40"/>
    </row>
    <row r="41" spans="2:12" x14ac:dyDescent="0.3">
      <c r="B41" s="226"/>
      <c r="C41" s="29"/>
      <c r="D41" s="45" t="s">
        <v>71</v>
      </c>
      <c r="E41" s="46">
        <v>0</v>
      </c>
      <c r="F41" s="29"/>
      <c r="G41" s="30"/>
      <c r="H41" s="31"/>
      <c r="J41"/>
      <c r="K41"/>
      <c r="L41"/>
    </row>
    <row r="42" spans="2:12" x14ac:dyDescent="0.3">
      <c r="B42" s="226"/>
      <c r="C42" s="29"/>
      <c r="D42" s="2" t="s">
        <v>16</v>
      </c>
      <c r="E42" s="8">
        <v>0</v>
      </c>
      <c r="F42" s="29"/>
      <c r="G42" s="30"/>
      <c r="H42" s="31"/>
      <c r="J42"/>
      <c r="K42"/>
      <c r="L42"/>
    </row>
    <row r="43" spans="2:12" x14ac:dyDescent="0.3">
      <c r="B43" s="226"/>
      <c r="C43" s="29"/>
      <c r="D43" s="2" t="s">
        <v>17</v>
      </c>
      <c r="E43" s="8">
        <v>0</v>
      </c>
      <c r="F43" s="29"/>
      <c r="G43" s="30"/>
      <c r="H43" s="31"/>
      <c r="J43"/>
      <c r="K43"/>
      <c r="L43"/>
    </row>
    <row r="44" spans="2:12" x14ac:dyDescent="0.3">
      <c r="B44" s="226"/>
      <c r="C44" s="29"/>
      <c r="D44" s="2" t="s">
        <v>18</v>
      </c>
      <c r="E44" s="8">
        <v>0</v>
      </c>
      <c r="F44" s="29"/>
      <c r="G44" s="30"/>
      <c r="H44" s="31"/>
      <c r="J44"/>
      <c r="K44"/>
      <c r="L44"/>
    </row>
    <row r="45" spans="2:12" x14ac:dyDescent="0.3">
      <c r="B45" s="226"/>
      <c r="C45" s="29"/>
      <c r="D45" s="2" t="s">
        <v>19</v>
      </c>
      <c r="E45" s="8">
        <v>0</v>
      </c>
      <c r="F45" s="29"/>
      <c r="G45" s="30"/>
      <c r="H45" s="31"/>
      <c r="J45"/>
      <c r="K45"/>
      <c r="L45"/>
    </row>
    <row r="46" spans="2:12" x14ac:dyDescent="0.3">
      <c r="B46" s="226"/>
      <c r="C46" s="29"/>
      <c r="D46" s="2" t="s">
        <v>21</v>
      </c>
      <c r="E46" s="8">
        <v>1</v>
      </c>
      <c r="F46" s="29"/>
      <c r="G46" s="30"/>
      <c r="H46" s="31"/>
      <c r="J46"/>
      <c r="K46"/>
      <c r="L46"/>
    </row>
    <row r="47" spans="2:12" x14ac:dyDescent="0.3">
      <c r="B47" s="226"/>
      <c r="C47" s="29"/>
      <c r="D47" s="2" t="s">
        <v>20</v>
      </c>
      <c r="E47" s="8">
        <v>0</v>
      </c>
      <c r="F47" s="29"/>
      <c r="G47" s="30"/>
      <c r="H47" s="31"/>
      <c r="J47"/>
      <c r="K47"/>
      <c r="L47"/>
    </row>
    <row r="48" spans="2:12" x14ac:dyDescent="0.3">
      <c r="B48" s="226"/>
      <c r="C48" s="29"/>
      <c r="D48" s="6" t="s">
        <v>67</v>
      </c>
      <c r="E48" s="123">
        <f>VLOOKUP(D42, ActivityFactorSHARC, 2, FALSE)*E42 + VLOOKUP(D43, ActivityFactorSHARC, 2, FALSE)*E43 + VLOOKUP(D44, ActivityFactorSHARC, 2, FALSE)*E44 +VLOOKUP(D45, ActivityFactorSHARC, 2, FALSE)*E45 + VLOOKUP(D46, ActivityFactorSHARC, 2, FALSE)*E46 + VLOOKUP(D47, ActivityFactorSHARC, 2, FALSE)*E47</f>
        <v>1</v>
      </c>
      <c r="F48" s="29"/>
      <c r="G48" s="30"/>
      <c r="H48" s="31"/>
      <c r="J48"/>
      <c r="K48"/>
      <c r="L48"/>
    </row>
    <row r="49" spans="2:12" x14ac:dyDescent="0.3">
      <c r="B49" s="226"/>
      <c r="C49" s="29"/>
      <c r="D49" s="29"/>
      <c r="E49" s="29"/>
      <c r="F49" s="29"/>
      <c r="G49" s="30"/>
      <c r="H49" s="31"/>
      <c r="J49"/>
      <c r="K49"/>
      <c r="L49"/>
    </row>
    <row r="50" spans="2:12" x14ac:dyDescent="0.3">
      <c r="B50" s="226"/>
      <c r="C50" s="29"/>
      <c r="D50" s="29"/>
      <c r="E50" s="29"/>
      <c r="F50" s="29"/>
      <c r="G50" s="30"/>
      <c r="H50" s="31"/>
    </row>
    <row r="51" spans="2:12" x14ac:dyDescent="0.3">
      <c r="B51" s="226"/>
      <c r="C51" s="29"/>
      <c r="D51" s="220" t="s">
        <v>8</v>
      </c>
      <c r="E51" s="220"/>
      <c r="F51" s="220"/>
      <c r="G51" s="220"/>
      <c r="H51" s="36" t="s">
        <v>28</v>
      </c>
    </row>
    <row r="52" spans="2:12" x14ac:dyDescent="0.3">
      <c r="B52" s="226"/>
      <c r="C52" s="29"/>
      <c r="D52" s="173" t="s">
        <v>88</v>
      </c>
      <c r="E52" s="173"/>
      <c r="F52" s="173"/>
      <c r="G52" s="8" t="s">
        <v>76</v>
      </c>
      <c r="H52" s="52">
        <f>VLOOKUP(G52, USB_VDDINT, 2, FALSE)</f>
        <v>9.6</v>
      </c>
    </row>
    <row r="53" spans="2:12" x14ac:dyDescent="0.3">
      <c r="B53" s="226"/>
      <c r="C53" s="29"/>
      <c r="D53" s="173" t="s">
        <v>89</v>
      </c>
      <c r="E53" s="173"/>
      <c r="F53" s="173"/>
      <c r="G53" s="8" t="s">
        <v>11</v>
      </c>
      <c r="H53" s="52">
        <f>VLOOKUP(G53, USB_VDDINT, 2, FALSE)</f>
        <v>0</v>
      </c>
    </row>
    <row r="54" spans="2:12" x14ac:dyDescent="0.3">
      <c r="B54" s="226"/>
      <c r="C54" s="29"/>
      <c r="D54" s="173" t="s">
        <v>9</v>
      </c>
      <c r="E54" s="173"/>
      <c r="F54" s="173"/>
      <c r="G54" s="8" t="s">
        <v>85</v>
      </c>
      <c r="H54" s="52">
        <f>VLOOKUP(G54, PCIE_CurrentTable, 3, FALSE)</f>
        <v>0</v>
      </c>
    </row>
    <row r="55" spans="2:12" x14ac:dyDescent="0.3">
      <c r="B55" s="226"/>
      <c r="C55" s="29"/>
      <c r="D55" s="173" t="s">
        <v>10</v>
      </c>
      <c r="E55" s="173"/>
      <c r="F55" s="173"/>
      <c r="G55" s="8" t="s">
        <v>11</v>
      </c>
      <c r="H55" s="52">
        <f>VLOOKUP(G55,MLB!C3:D4,2,FALSE)</f>
        <v>0</v>
      </c>
    </row>
    <row r="56" spans="2:12" x14ac:dyDescent="0.3">
      <c r="B56" s="226"/>
      <c r="C56" s="29"/>
      <c r="D56" s="173" t="s">
        <v>40</v>
      </c>
      <c r="E56" s="173"/>
      <c r="F56" s="173"/>
      <c r="G56" s="8" t="s">
        <v>39</v>
      </c>
      <c r="H56" s="52">
        <f>VLOOKUP(G56,GigE!C3:D4,2,FALSE)</f>
        <v>10</v>
      </c>
      <c r="I56" s="3"/>
      <c r="K56" s="9"/>
      <c r="L56" s="1"/>
    </row>
    <row r="57" spans="2:12" x14ac:dyDescent="0.3">
      <c r="B57" s="226"/>
      <c r="C57" s="29"/>
      <c r="D57" s="173" t="s">
        <v>156</v>
      </c>
      <c r="E57" s="173"/>
      <c r="F57" s="173"/>
      <c r="G57" s="8" t="s">
        <v>35</v>
      </c>
      <c r="H57" s="55">
        <f>VLOOKUP(G57,Accelerators!C3:D4,2,FALSE) * G12 * K9</f>
        <v>79.2</v>
      </c>
    </row>
    <row r="58" spans="2:12" ht="15" thickBot="1" x14ac:dyDescent="0.35">
      <c r="B58" s="227"/>
      <c r="C58" s="32"/>
      <c r="D58" s="183" t="s">
        <v>31</v>
      </c>
      <c r="E58" s="183"/>
      <c r="F58" s="183"/>
      <c r="G58" s="183"/>
      <c r="H58" s="123">
        <f>SUM(H52:H57)</f>
        <v>98.800000000000011</v>
      </c>
    </row>
    <row r="59" spans="2:12" x14ac:dyDescent="0.3">
      <c r="B59" s="180" t="s">
        <v>135</v>
      </c>
      <c r="C59" s="26"/>
      <c r="D59" s="26"/>
      <c r="E59" s="26"/>
      <c r="F59" s="26"/>
      <c r="G59" s="27"/>
      <c r="H59" s="28"/>
    </row>
    <row r="60" spans="2:12" x14ac:dyDescent="0.3">
      <c r="B60" s="181"/>
      <c r="C60" s="29"/>
      <c r="D60" s="29"/>
      <c r="E60" s="29"/>
      <c r="F60" s="29"/>
      <c r="G60" s="30"/>
      <c r="H60" s="31"/>
    </row>
    <row r="61" spans="2:12" ht="15.6" x14ac:dyDescent="0.35">
      <c r="B61" s="181"/>
      <c r="C61" s="29"/>
      <c r="D61" s="177" t="s">
        <v>138</v>
      </c>
      <c r="E61" s="178"/>
      <c r="F61" s="179"/>
      <c r="G61" s="8">
        <v>3.3</v>
      </c>
      <c r="H61" s="31"/>
    </row>
    <row r="62" spans="2:12" ht="15.6" x14ac:dyDescent="0.35">
      <c r="B62" s="181"/>
      <c r="C62" s="29"/>
      <c r="D62" s="173" t="s">
        <v>137</v>
      </c>
      <c r="E62" s="173"/>
      <c r="F62" s="173"/>
      <c r="G62" s="173"/>
      <c r="H62" s="56">
        <f>H63/G61</f>
        <v>1.3824298124999999E-2</v>
      </c>
    </row>
    <row r="63" spans="2:12" ht="15.6" x14ac:dyDescent="0.35">
      <c r="B63" s="181"/>
      <c r="C63" s="29"/>
      <c r="D63" s="173" t="s">
        <v>139</v>
      </c>
      <c r="E63" s="173"/>
      <c r="F63" s="173"/>
      <c r="G63" s="173"/>
      <c r="H63" s="56">
        <f>'VDD_EXT Power Domain'!J16/1000</f>
        <v>4.5620183812499993E-2</v>
      </c>
    </row>
    <row r="64" spans="2:12" x14ac:dyDescent="0.3">
      <c r="B64" s="181"/>
      <c r="C64" s="29"/>
      <c r="D64" s="29"/>
      <c r="E64" s="29"/>
      <c r="F64" s="29"/>
      <c r="G64" s="30"/>
      <c r="H64" s="31"/>
    </row>
    <row r="65" spans="2:12" ht="15" thickBot="1" x14ac:dyDescent="0.35">
      <c r="B65" s="182"/>
      <c r="C65" s="32"/>
      <c r="D65" s="32"/>
      <c r="E65" s="32"/>
      <c r="F65" s="32"/>
      <c r="G65" s="33"/>
      <c r="H65" s="34"/>
    </row>
    <row r="66" spans="2:12" x14ac:dyDescent="0.3">
      <c r="B66" s="187" t="s">
        <v>136</v>
      </c>
      <c r="C66" s="26"/>
      <c r="D66" s="26"/>
      <c r="E66" s="26"/>
      <c r="F66" s="26"/>
      <c r="G66" s="27"/>
      <c r="H66" s="28"/>
    </row>
    <row r="67" spans="2:12" x14ac:dyDescent="0.3">
      <c r="B67" s="188"/>
      <c r="C67" s="29"/>
      <c r="D67" s="29"/>
      <c r="E67" s="29"/>
      <c r="F67" s="29"/>
      <c r="G67" s="30"/>
      <c r="H67" s="31"/>
    </row>
    <row r="68" spans="2:12" ht="15.6" x14ac:dyDescent="0.35">
      <c r="B68" s="188"/>
      <c r="C68" s="29"/>
      <c r="D68" s="177" t="s">
        <v>140</v>
      </c>
      <c r="E68" s="178"/>
      <c r="F68" s="179"/>
      <c r="G68" s="8">
        <v>1.8</v>
      </c>
      <c r="H68" s="31"/>
    </row>
    <row r="69" spans="2:12" ht="15.6" x14ac:dyDescent="0.35">
      <c r="B69" s="188"/>
      <c r="C69" s="29"/>
      <c r="D69" s="173" t="s">
        <v>141</v>
      </c>
      <c r="E69" s="173"/>
      <c r="F69" s="173"/>
      <c r="G69" s="173"/>
      <c r="H69" s="56">
        <f>H70/G68</f>
        <v>7.5149999999999981E-2</v>
      </c>
    </row>
    <row r="70" spans="2:12" ht="15.6" x14ac:dyDescent="0.35">
      <c r="B70" s="188"/>
      <c r="C70" s="29"/>
      <c r="D70" s="173" t="s">
        <v>142</v>
      </c>
      <c r="E70" s="173"/>
      <c r="F70" s="173"/>
      <c r="G70" s="173"/>
      <c r="H70" s="56">
        <f>'VDD_DMC Power Domain'!K19/1000</f>
        <v>0.13526999999999997</v>
      </c>
    </row>
    <row r="71" spans="2:12" x14ac:dyDescent="0.3">
      <c r="B71" s="188"/>
      <c r="C71" s="29"/>
      <c r="D71" s="29"/>
      <c r="E71" s="29"/>
      <c r="F71" s="29"/>
      <c r="G71" s="30"/>
      <c r="H71" s="31"/>
    </row>
    <row r="72" spans="2:12" ht="15" thickBot="1" x14ac:dyDescent="0.35">
      <c r="B72" s="189"/>
      <c r="C72" s="32"/>
      <c r="D72" s="32"/>
      <c r="E72" s="32"/>
      <c r="F72" s="32"/>
      <c r="G72" s="33"/>
      <c r="H72" s="34"/>
    </row>
    <row r="73" spans="2:12" ht="15" customHeight="1" x14ac:dyDescent="0.3">
      <c r="B73" s="187" t="s">
        <v>64</v>
      </c>
      <c r="C73" s="26"/>
      <c r="D73" s="26"/>
      <c r="E73" s="26"/>
      <c r="F73" s="26"/>
      <c r="G73" s="27"/>
      <c r="H73" s="28"/>
    </row>
    <row r="74" spans="2:12" x14ac:dyDescent="0.3">
      <c r="B74" s="188"/>
      <c r="C74" s="29"/>
      <c r="D74" s="29"/>
      <c r="E74" s="29"/>
      <c r="F74" s="29"/>
      <c r="G74" s="30"/>
      <c r="H74" s="31"/>
    </row>
    <row r="75" spans="2:12" x14ac:dyDescent="0.3">
      <c r="B75" s="188"/>
      <c r="C75" s="29"/>
      <c r="D75" s="184" t="s">
        <v>62</v>
      </c>
      <c r="E75" s="185"/>
      <c r="F75" s="186"/>
      <c r="G75" s="14" t="s">
        <v>63</v>
      </c>
      <c r="H75" s="42" t="s">
        <v>99</v>
      </c>
    </row>
    <row r="76" spans="2:12" ht="15.6" x14ac:dyDescent="0.35">
      <c r="B76" s="188"/>
      <c r="C76" s="29"/>
      <c r="D76" s="177" t="s">
        <v>143</v>
      </c>
      <c r="E76" s="178"/>
      <c r="F76" s="179"/>
      <c r="G76" s="8">
        <v>3.3</v>
      </c>
      <c r="H76" s="57">
        <f>VLOOKUP(G52, USB_VDDUSB, 2, FALSE)*G76</f>
        <v>119.88899999999998</v>
      </c>
    </row>
    <row r="77" spans="2:12" ht="15.6" x14ac:dyDescent="0.35">
      <c r="B77" s="188"/>
      <c r="C77" s="29"/>
      <c r="D77" s="177" t="s">
        <v>144</v>
      </c>
      <c r="E77" s="178"/>
      <c r="F77" s="179"/>
      <c r="G77" s="8">
        <v>3.3</v>
      </c>
      <c r="H77" s="57">
        <f>VLOOKUP(G53, USB_VDDUSB, 2, FALSE)*G77</f>
        <v>0</v>
      </c>
    </row>
    <row r="78" spans="2:12" ht="15.6" x14ac:dyDescent="0.35">
      <c r="B78" s="188"/>
      <c r="C78" s="29"/>
      <c r="D78" s="177" t="s">
        <v>145</v>
      </c>
      <c r="E78" s="178"/>
      <c r="F78" s="179"/>
      <c r="G78" s="8">
        <v>3.3</v>
      </c>
      <c r="H78" s="52">
        <f>VLOOKUP(G54,PCIE_CurrentTable,6,FALSE)*G78</f>
        <v>0</v>
      </c>
      <c r="J78" s="1"/>
      <c r="K78" s="1"/>
      <c r="L78" s="1"/>
    </row>
    <row r="79" spans="2:12" ht="15.6" x14ac:dyDescent="0.35">
      <c r="B79" s="188"/>
      <c r="C79" s="29"/>
      <c r="D79" s="177" t="s">
        <v>146</v>
      </c>
      <c r="E79" s="178"/>
      <c r="F79" s="179"/>
      <c r="G79" s="8">
        <v>1.1000000000000001</v>
      </c>
      <c r="H79" s="52">
        <f>VLOOKUP(G54,PCIE_CurrentTable,5,FALSE)*G79</f>
        <v>0</v>
      </c>
      <c r="J79" s="1"/>
      <c r="K79" s="1"/>
      <c r="L79" s="1"/>
    </row>
    <row r="80" spans="2:12" ht="15.6" x14ac:dyDescent="0.35">
      <c r="B80" s="188"/>
      <c r="C80" s="29"/>
      <c r="D80" s="177" t="s">
        <v>147</v>
      </c>
      <c r="E80" s="178"/>
      <c r="F80" s="179"/>
      <c r="G80" s="8">
        <v>1.1000000000000001</v>
      </c>
      <c r="H80" s="52">
        <f>VLOOKUP(G54,PCIE_CurrentTable,4,FALSE)*G80</f>
        <v>0</v>
      </c>
    </row>
    <row r="81" spans="2:8" x14ac:dyDescent="0.3">
      <c r="B81" s="188"/>
      <c r="C81" s="29"/>
      <c r="D81" s="49"/>
      <c r="E81" s="49"/>
      <c r="F81" s="49"/>
      <c r="G81" s="50"/>
      <c r="H81" s="51"/>
    </row>
    <row r="82" spans="2:8" ht="15" thickBot="1" x14ac:dyDescent="0.35">
      <c r="B82" s="189"/>
      <c r="C82" s="32"/>
      <c r="D82" s="32"/>
      <c r="E82" s="32"/>
      <c r="F82" s="32"/>
      <c r="G82" s="33"/>
      <c r="H82" s="34"/>
    </row>
  </sheetData>
  <dataConsolidate/>
  <mergeCells count="52">
    <mergeCell ref="M24:M27"/>
    <mergeCell ref="D21:E21"/>
    <mergeCell ref="D39:E39"/>
    <mergeCell ref="D28:E28"/>
    <mergeCell ref="A1:N1"/>
    <mergeCell ref="J2:M2"/>
    <mergeCell ref="A2:I2"/>
    <mergeCell ref="D9:F9"/>
    <mergeCell ref="J8:K8"/>
    <mergeCell ref="J3:M4"/>
    <mergeCell ref="D4:F4"/>
    <mergeCell ref="B8:B58"/>
    <mergeCell ref="D56:F56"/>
    <mergeCell ref="M10:N14"/>
    <mergeCell ref="D8:G8"/>
    <mergeCell ref="D51:G51"/>
    <mergeCell ref="J24:L27"/>
    <mergeCell ref="L19:L20"/>
    <mergeCell ref="D12:F12"/>
    <mergeCell ref="D13:F13"/>
    <mergeCell ref="D14:F14"/>
    <mergeCell ref="D15:F15"/>
    <mergeCell ref="D18:G18"/>
    <mergeCell ref="D16:F16"/>
    <mergeCell ref="J17:K17"/>
    <mergeCell ref="J18:K18"/>
    <mergeCell ref="J19:K20"/>
    <mergeCell ref="B66:B72"/>
    <mergeCell ref="D68:F68"/>
    <mergeCell ref="D69:G69"/>
    <mergeCell ref="D70:G70"/>
    <mergeCell ref="D77:F77"/>
    <mergeCell ref="D76:F76"/>
    <mergeCell ref="D80:F80"/>
    <mergeCell ref="D75:F75"/>
    <mergeCell ref="B73:B82"/>
    <mergeCell ref="D78:F78"/>
    <mergeCell ref="D79:F79"/>
    <mergeCell ref="D62:G62"/>
    <mergeCell ref="D63:G63"/>
    <mergeCell ref="D52:F52"/>
    <mergeCell ref="D17:F17"/>
    <mergeCell ref="A4:C4"/>
    <mergeCell ref="D61:F61"/>
    <mergeCell ref="B59:B65"/>
    <mergeCell ref="D58:G58"/>
    <mergeCell ref="D57:F57"/>
    <mergeCell ref="D53:F53"/>
    <mergeCell ref="D54:F54"/>
    <mergeCell ref="D55:F55"/>
    <mergeCell ref="D10:F10"/>
    <mergeCell ref="D11:F11"/>
  </mergeCells>
  <dataValidations xWindow="511" yWindow="532" count="12">
    <dataValidation type="list" showInputMessage="1" showErrorMessage="1" sqref="G56">
      <formula1>GIGE_OPTIONS</formula1>
    </dataValidation>
    <dataValidation type="list" showInputMessage="1" showErrorMessage="1" sqref="K10">
      <formula1>Temperature</formula1>
    </dataValidation>
    <dataValidation type="list" showInputMessage="1" showErrorMessage="1" sqref="K9">
      <formula1>VDD_INT</formula1>
    </dataValidation>
    <dataValidation type="list" allowBlank="1" showInputMessage="1" showErrorMessage="1" sqref="G57">
      <formula1>FFT_Activity</formula1>
    </dataValidation>
    <dataValidation type="list" allowBlank="1" showInputMessage="1" showErrorMessage="1" sqref="N8">
      <formula1>SIDD_Levels</formula1>
    </dataValidation>
    <dataValidation type="list" showInputMessage="1" showErrorMessage="1" sqref="G55">
      <formula1>MLB_OPTIONS</formula1>
    </dataValidation>
    <dataValidation type="custom" allowBlank="1" showInputMessage="1" showErrorMessage="1" error="invalid values" sqref="G23">
      <formula1>1</formula1>
    </dataValidation>
    <dataValidation allowBlank="1" showInputMessage="1" showErrorMessage="1" prompt="Sum of these fractions should be 1" sqref="E41:E47 E30:E36 E24:E25"/>
    <dataValidation showInputMessage="1" showErrorMessage="1" error="Wrong input" prompt="Sum of these fractions should be 1" sqref="E23"/>
    <dataValidation type="list" showInputMessage="1" error="Use value form Drop down" promptTitle="DMA Profile" prompt="Select DMA Profile" sqref="G17">
      <formula1>DMAPROFILE</formula1>
    </dataValidation>
    <dataValidation allowBlank="1" showInputMessage="1" showErrorMessage="1" promptTitle="Config Warning" prompt="Consult the processor datasheet to ensure settings are within specification" sqref="G9:G16 G76:G80 G68"/>
    <dataValidation allowBlank="1" showInputMessage="1" showErrorMessage="1" promptTitle="Configuration Warning" prompt="Consult the processor datasheet to ensure settings are within specification" sqref="G61"/>
  </dataValidations>
  <pageMargins left="0.7" right="0.7" top="0.75" bottom="0.75" header="0.3" footer="0.3"/>
  <pageSetup paperSize="9" orientation="portrait" verticalDpi="1200" r:id="rId1"/>
  <extLst>
    <ext xmlns:x14="http://schemas.microsoft.com/office/spreadsheetml/2009/9/main" uri="{CCE6A557-97BC-4b89-ADB6-D9C93CAAB3DF}">
      <x14:dataValidations xmlns:xm="http://schemas.microsoft.com/office/excel/2006/main" xWindow="511" yWindow="532" count="2">
        <x14:dataValidation type="list" showInputMessage="1" showErrorMessage="1">
          <x14:formula1>
            <xm:f>USB!$C$3:$C$6</xm:f>
          </x14:formula1>
          <xm:sqref>G52:G53</xm:sqref>
        </x14:dataValidation>
        <x14:dataValidation type="list" showInputMessage="1" showErrorMessage="1">
          <x14:formula1>
            <xm:f>PCIe!$G$5:$G$12</xm:f>
          </x14:formula1>
          <xm:sqref>G54</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D4"/>
  <sheetViews>
    <sheetView workbookViewId="0"/>
  </sheetViews>
  <sheetFormatPr defaultColWidth="9.109375" defaultRowHeight="14.4" x14ac:dyDescent="0.3"/>
  <cols>
    <col min="1" max="2" width="9.109375" style="11"/>
    <col min="3" max="3" width="12.44140625" style="11" customWidth="1"/>
    <col min="4" max="4" width="15" style="11" customWidth="1"/>
    <col min="5" max="16384" width="9.109375" style="11"/>
  </cols>
  <sheetData>
    <row r="2" spans="3:4" ht="30" x14ac:dyDescent="0.3">
      <c r="C2" s="122" t="s">
        <v>153</v>
      </c>
      <c r="D2" s="122" t="s">
        <v>154</v>
      </c>
    </row>
    <row r="3" spans="3:4" x14ac:dyDescent="0.3">
      <c r="C3" s="12" t="s">
        <v>11</v>
      </c>
      <c r="D3" s="12">
        <v>0</v>
      </c>
    </row>
    <row r="4" spans="3:4" x14ac:dyDescent="0.3">
      <c r="C4" s="12" t="s">
        <v>39</v>
      </c>
      <c r="D4" s="12">
        <v>10</v>
      </c>
    </row>
  </sheetData>
  <sheetProtection algorithmName="SHA-512" hashValue="jCxcMALop66gos7T/+iiz1Vpa16W+gIq2Ppxj8jnG+yGkL/JBaUBgcbtcnWfkzaqNecrhc8hn5hzKh2lSs8qqA==" saltValue="pK4i4mMZT0I8BlTj6ZUk4w==" spinCount="100000" sheet="1" objects="1" scenarios="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D4"/>
  <sheetViews>
    <sheetView workbookViewId="0"/>
  </sheetViews>
  <sheetFormatPr defaultColWidth="9.109375" defaultRowHeight="14.4" x14ac:dyDescent="0.3"/>
  <cols>
    <col min="1" max="2" width="9.109375" style="13"/>
    <col min="3" max="3" width="12.109375" style="13" customWidth="1"/>
    <col min="4" max="4" width="14.6640625" style="13" customWidth="1"/>
    <col min="5" max="16384" width="9.109375" style="13"/>
  </cols>
  <sheetData>
    <row r="2" spans="3:4" ht="30" x14ac:dyDescent="0.3">
      <c r="C2" s="122" t="s">
        <v>151</v>
      </c>
      <c r="D2" s="120" t="s">
        <v>152</v>
      </c>
    </row>
    <row r="3" spans="3:4" x14ac:dyDescent="0.3">
      <c r="C3" s="12" t="s">
        <v>11</v>
      </c>
      <c r="D3" s="12">
        <v>0</v>
      </c>
    </row>
    <row r="4" spans="3:4" x14ac:dyDescent="0.3">
      <c r="C4" s="12" t="s">
        <v>39</v>
      </c>
      <c r="D4" s="12">
        <v>10</v>
      </c>
    </row>
  </sheetData>
  <sheetProtection algorithmName="SHA-512" hashValue="8USLkt9Cw1daY11yPrY3qgq5uiqKP4R/j4iapmOQa0AQtnsgDlLW5GeMSbEYYA6CoX93MZNOK6OnyAGRMGQPTA==" saltValue="R3cAXgK6yyjkA6V/HuacKQ==" spinCount="100000" sheet="1" objects="1" scenarios="1"/>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I6"/>
  <sheetViews>
    <sheetView workbookViewId="0"/>
  </sheetViews>
  <sheetFormatPr defaultColWidth="9.109375" defaultRowHeight="14.4" x14ac:dyDescent="0.3"/>
  <cols>
    <col min="1" max="2" width="9.109375" style="13"/>
    <col min="3" max="3" width="13.6640625" style="13" customWidth="1"/>
    <col min="4" max="4" width="14" style="13" customWidth="1"/>
    <col min="5" max="7" width="9.109375" style="13"/>
    <col min="8" max="8" width="13.6640625" style="13" customWidth="1"/>
    <col min="9" max="9" width="11.5546875" style="13" customWidth="1"/>
    <col min="10" max="16384" width="9.109375" style="13"/>
  </cols>
  <sheetData>
    <row r="2" spans="3:9" ht="30.75" customHeight="1" x14ac:dyDescent="0.3">
      <c r="C2" s="122" t="s">
        <v>148</v>
      </c>
      <c r="D2" s="120" t="s">
        <v>150</v>
      </c>
      <c r="E2" s="121"/>
      <c r="F2" s="121"/>
      <c r="G2" s="121"/>
      <c r="H2" s="122" t="s">
        <v>148</v>
      </c>
      <c r="I2" s="120" t="s">
        <v>149</v>
      </c>
    </row>
    <row r="3" spans="3:9" x14ac:dyDescent="0.3">
      <c r="C3" s="12" t="s">
        <v>11</v>
      </c>
      <c r="D3" s="12">
        <v>0</v>
      </c>
      <c r="H3" s="12" t="s">
        <v>11</v>
      </c>
      <c r="I3" s="12">
        <v>0</v>
      </c>
    </row>
    <row r="4" spans="3:9" x14ac:dyDescent="0.3">
      <c r="C4" s="12" t="s">
        <v>75</v>
      </c>
      <c r="D4" s="12">
        <v>0.31</v>
      </c>
      <c r="H4" s="12" t="s">
        <v>75</v>
      </c>
      <c r="I4" s="12">
        <v>5.5E-2</v>
      </c>
    </row>
    <row r="5" spans="3:9" x14ac:dyDescent="0.3">
      <c r="C5" s="12" t="s">
        <v>76</v>
      </c>
      <c r="D5" s="12">
        <v>9.6</v>
      </c>
      <c r="H5" s="12" t="s">
        <v>76</v>
      </c>
      <c r="I5" s="12">
        <v>36.33</v>
      </c>
    </row>
    <row r="6" spans="3:9" x14ac:dyDescent="0.3">
      <c r="C6" s="12" t="s">
        <v>77</v>
      </c>
      <c r="D6" s="12">
        <v>6.78</v>
      </c>
      <c r="H6" s="12" t="s">
        <v>77</v>
      </c>
      <c r="I6" s="12">
        <v>14.68</v>
      </c>
    </row>
  </sheetData>
  <sheetProtection algorithmName="SHA-512" hashValue="bmFuoLkcD3CT4pgpDV76N1OHpfqltKJerFimfoeUhAGoVk1puVzqF8ZKpCTgX66xVgnf72V1X+8g5SSbv/nL6w==" saltValue="743xbgkI/3ELRIz99Er1nw==" spinCount="100000" sheet="1" objects="1" scenarios="1"/>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P23"/>
  <sheetViews>
    <sheetView topLeftCell="D2" workbookViewId="0">
      <selection activeCell="D2" sqref="D2"/>
    </sheetView>
  </sheetViews>
  <sheetFormatPr defaultColWidth="9.109375" defaultRowHeight="14.4" x14ac:dyDescent="0.3"/>
  <cols>
    <col min="1" max="16384" width="9.109375" style="13"/>
  </cols>
  <sheetData>
    <row r="3" spans="5:16" x14ac:dyDescent="0.3">
      <c r="E3" s="134"/>
      <c r="F3" s="134"/>
      <c r="G3" s="134"/>
      <c r="H3" s="134"/>
      <c r="I3" s="134"/>
      <c r="J3" s="134"/>
      <c r="K3" s="134"/>
      <c r="L3" s="134"/>
      <c r="M3" s="134"/>
      <c r="N3" s="134"/>
      <c r="O3" s="134"/>
      <c r="P3" s="134"/>
    </row>
    <row r="4" spans="5:16" x14ac:dyDescent="0.3">
      <c r="E4" s="134"/>
      <c r="F4" s="134"/>
      <c r="G4" s="134"/>
      <c r="H4" s="134"/>
      <c r="I4" s="134"/>
      <c r="J4" s="134"/>
      <c r="K4" s="134"/>
      <c r="L4" s="134"/>
      <c r="M4" s="134"/>
      <c r="N4" s="134"/>
      <c r="O4" s="134"/>
      <c r="P4" s="134"/>
    </row>
    <row r="5" spans="5:16" x14ac:dyDescent="0.3">
      <c r="E5" s="134"/>
      <c r="F5" s="134"/>
      <c r="G5" s="134"/>
      <c r="H5" s="134"/>
      <c r="I5" s="134"/>
      <c r="J5" s="134"/>
      <c r="K5" s="134"/>
      <c r="L5" s="134"/>
      <c r="M5" s="134"/>
      <c r="N5" s="134"/>
      <c r="O5" s="134"/>
      <c r="P5" s="134"/>
    </row>
    <row r="6" spans="5:16" x14ac:dyDescent="0.3">
      <c r="E6" s="134"/>
      <c r="F6" s="134"/>
      <c r="G6" s="134"/>
      <c r="H6" s="134"/>
      <c r="I6" s="134"/>
      <c r="J6" s="134"/>
      <c r="K6" s="134"/>
      <c r="L6" s="134"/>
      <c r="M6" s="134"/>
      <c r="N6" s="134"/>
      <c r="O6" s="134"/>
      <c r="P6" s="134"/>
    </row>
    <row r="7" spans="5:16" ht="15.6" x14ac:dyDescent="0.35">
      <c r="E7" s="134"/>
      <c r="F7" s="134"/>
      <c r="G7" s="135" t="s">
        <v>27</v>
      </c>
      <c r="H7" s="231" t="s">
        <v>166</v>
      </c>
      <c r="I7" s="231"/>
      <c r="J7" s="231"/>
      <c r="K7" s="231"/>
      <c r="L7" s="231"/>
      <c r="M7" s="231"/>
      <c r="N7" s="231"/>
      <c r="O7" s="231"/>
      <c r="P7" s="231"/>
    </row>
    <row r="8" spans="5:16" ht="15.6" x14ac:dyDescent="0.35">
      <c r="E8" s="134"/>
      <c r="F8" s="134"/>
      <c r="G8" s="119" t="s">
        <v>165</v>
      </c>
      <c r="H8" s="136">
        <v>0.9</v>
      </c>
      <c r="I8" s="136">
        <v>0.95</v>
      </c>
      <c r="J8" s="136">
        <v>1</v>
      </c>
      <c r="K8" s="136">
        <v>1.05</v>
      </c>
      <c r="L8" s="136">
        <v>1.1000000000000001</v>
      </c>
      <c r="M8" s="136">
        <v>1.1499999999999999</v>
      </c>
      <c r="N8" s="136">
        <v>1.2</v>
      </c>
      <c r="O8" s="136">
        <v>1.25</v>
      </c>
      <c r="P8" s="136">
        <v>1.3</v>
      </c>
    </row>
    <row r="9" spans="5:16" x14ac:dyDescent="0.3">
      <c r="E9" s="134"/>
      <c r="F9" s="134"/>
      <c r="G9" s="119">
        <v>-40</v>
      </c>
      <c r="H9" s="137">
        <v>4</v>
      </c>
      <c r="I9" s="137">
        <v>5</v>
      </c>
      <c r="J9" s="137">
        <v>6</v>
      </c>
      <c r="K9" s="137">
        <v>7</v>
      </c>
      <c r="L9" s="137">
        <v>8</v>
      </c>
      <c r="M9" s="137">
        <v>10</v>
      </c>
      <c r="N9" s="137">
        <v>12</v>
      </c>
      <c r="O9" s="137">
        <v>15</v>
      </c>
      <c r="P9" s="137">
        <v>18</v>
      </c>
    </row>
    <row r="10" spans="5:16" x14ac:dyDescent="0.3">
      <c r="E10" s="134"/>
      <c r="F10" s="134"/>
      <c r="G10" s="119">
        <v>-20</v>
      </c>
      <c r="H10" s="137">
        <v>7</v>
      </c>
      <c r="I10" s="137">
        <v>8</v>
      </c>
      <c r="J10" s="137">
        <v>10</v>
      </c>
      <c r="K10" s="137">
        <v>12</v>
      </c>
      <c r="L10" s="137">
        <v>14</v>
      </c>
      <c r="M10" s="137">
        <v>17</v>
      </c>
      <c r="N10" s="137">
        <v>21</v>
      </c>
      <c r="O10" s="137">
        <v>25</v>
      </c>
      <c r="P10" s="137">
        <v>30</v>
      </c>
    </row>
    <row r="11" spans="5:16" x14ac:dyDescent="0.3">
      <c r="E11" s="134"/>
      <c r="F11" s="134"/>
      <c r="G11" s="119">
        <v>-10</v>
      </c>
      <c r="H11" s="137">
        <v>9</v>
      </c>
      <c r="I11" s="137">
        <v>11</v>
      </c>
      <c r="J11" s="137">
        <v>13</v>
      </c>
      <c r="K11" s="137">
        <v>16</v>
      </c>
      <c r="L11" s="137">
        <v>19</v>
      </c>
      <c r="M11" s="137">
        <v>23</v>
      </c>
      <c r="N11" s="137">
        <v>27</v>
      </c>
      <c r="O11" s="137">
        <v>32</v>
      </c>
      <c r="P11" s="137">
        <v>38</v>
      </c>
    </row>
    <row r="12" spans="5:16" x14ac:dyDescent="0.3">
      <c r="E12" s="134"/>
      <c r="F12" s="134"/>
      <c r="G12" s="119">
        <v>0</v>
      </c>
      <c r="H12" s="137">
        <v>13</v>
      </c>
      <c r="I12" s="137">
        <v>15</v>
      </c>
      <c r="J12" s="137">
        <v>18</v>
      </c>
      <c r="K12" s="137">
        <v>21</v>
      </c>
      <c r="L12" s="137">
        <v>25</v>
      </c>
      <c r="M12" s="137">
        <v>30</v>
      </c>
      <c r="N12" s="137">
        <v>35</v>
      </c>
      <c r="O12" s="137">
        <v>42</v>
      </c>
      <c r="P12" s="137">
        <v>50</v>
      </c>
    </row>
    <row r="13" spans="5:16" x14ac:dyDescent="0.3">
      <c r="E13" s="134"/>
      <c r="F13" s="134"/>
      <c r="G13" s="119">
        <v>10</v>
      </c>
      <c r="H13" s="137">
        <v>17</v>
      </c>
      <c r="I13" s="137">
        <v>20</v>
      </c>
      <c r="J13" s="137">
        <v>24</v>
      </c>
      <c r="K13" s="137">
        <v>28</v>
      </c>
      <c r="L13" s="137">
        <v>33</v>
      </c>
      <c r="M13" s="137">
        <v>39</v>
      </c>
      <c r="N13" s="137">
        <v>46</v>
      </c>
      <c r="O13" s="137">
        <v>54</v>
      </c>
      <c r="P13" s="137">
        <v>64</v>
      </c>
    </row>
    <row r="14" spans="5:16" x14ac:dyDescent="0.3">
      <c r="E14" s="134"/>
      <c r="F14" s="134"/>
      <c r="G14" s="119">
        <v>25</v>
      </c>
      <c r="H14" s="137">
        <v>26</v>
      </c>
      <c r="I14" s="137">
        <v>31</v>
      </c>
      <c r="J14" s="137">
        <v>36</v>
      </c>
      <c r="K14" s="137">
        <v>42</v>
      </c>
      <c r="L14" s="137">
        <v>49</v>
      </c>
      <c r="M14" s="137">
        <v>58</v>
      </c>
      <c r="N14" s="137">
        <v>67</v>
      </c>
      <c r="O14" s="137">
        <v>79</v>
      </c>
      <c r="P14" s="137">
        <v>92</v>
      </c>
    </row>
    <row r="15" spans="5:16" x14ac:dyDescent="0.3">
      <c r="E15" s="134"/>
      <c r="F15" s="134"/>
      <c r="G15" s="119">
        <v>40</v>
      </c>
      <c r="H15" s="137">
        <v>40</v>
      </c>
      <c r="I15" s="137">
        <v>47</v>
      </c>
      <c r="J15" s="137">
        <v>54</v>
      </c>
      <c r="K15" s="137">
        <v>63</v>
      </c>
      <c r="L15" s="137">
        <v>73</v>
      </c>
      <c r="M15" s="137">
        <v>84</v>
      </c>
      <c r="N15" s="137">
        <v>98</v>
      </c>
      <c r="O15" s="137">
        <v>114</v>
      </c>
      <c r="P15" s="137">
        <v>132</v>
      </c>
    </row>
    <row r="16" spans="5:16" x14ac:dyDescent="0.3">
      <c r="E16" s="134"/>
      <c r="F16" s="134"/>
      <c r="G16" s="119">
        <v>55</v>
      </c>
      <c r="H16" s="137">
        <v>60</v>
      </c>
      <c r="I16" s="137">
        <v>69</v>
      </c>
      <c r="J16" s="137">
        <v>80</v>
      </c>
      <c r="K16" s="137">
        <v>92</v>
      </c>
      <c r="L16" s="137">
        <v>106</v>
      </c>
      <c r="M16" s="137">
        <v>122</v>
      </c>
      <c r="N16" s="137">
        <v>141</v>
      </c>
      <c r="O16" s="137">
        <v>162</v>
      </c>
      <c r="P16" s="137">
        <v>187</v>
      </c>
    </row>
    <row r="17" spans="5:16" x14ac:dyDescent="0.3">
      <c r="E17" s="134"/>
      <c r="F17" s="134"/>
      <c r="G17" s="119">
        <v>70</v>
      </c>
      <c r="H17" s="137">
        <v>88</v>
      </c>
      <c r="I17" s="137">
        <v>101</v>
      </c>
      <c r="J17" s="137">
        <v>116</v>
      </c>
      <c r="K17" s="137">
        <v>133</v>
      </c>
      <c r="L17" s="137">
        <v>152</v>
      </c>
      <c r="M17" s="137">
        <v>175</v>
      </c>
      <c r="N17" s="137">
        <v>200</v>
      </c>
      <c r="O17" s="137">
        <v>230</v>
      </c>
      <c r="P17" s="137">
        <v>264</v>
      </c>
    </row>
    <row r="18" spans="5:16" x14ac:dyDescent="0.3">
      <c r="E18" s="134"/>
      <c r="F18" s="134"/>
      <c r="G18" s="119">
        <v>85</v>
      </c>
      <c r="H18" s="137">
        <v>128</v>
      </c>
      <c r="I18" s="137">
        <v>146</v>
      </c>
      <c r="J18" s="137">
        <v>167</v>
      </c>
      <c r="K18" s="137">
        <v>190</v>
      </c>
      <c r="L18" s="137">
        <v>216</v>
      </c>
      <c r="M18" s="137">
        <v>247</v>
      </c>
      <c r="N18" s="137">
        <v>282</v>
      </c>
      <c r="O18" s="137">
        <v>322</v>
      </c>
      <c r="P18" s="137">
        <v>368</v>
      </c>
    </row>
    <row r="19" spans="5:16" x14ac:dyDescent="0.3">
      <c r="E19" s="134"/>
      <c r="F19" s="134"/>
      <c r="G19" s="119">
        <v>100</v>
      </c>
      <c r="H19" s="137">
        <v>185</v>
      </c>
      <c r="I19" s="137">
        <v>210</v>
      </c>
      <c r="J19" s="137">
        <v>237</v>
      </c>
      <c r="K19" s="137">
        <v>269</v>
      </c>
      <c r="L19" s="137">
        <v>305</v>
      </c>
      <c r="M19" s="137">
        <v>346</v>
      </c>
      <c r="N19" s="137">
        <v>393</v>
      </c>
      <c r="O19" s="137">
        <v>447</v>
      </c>
      <c r="P19" s="137">
        <v>508</v>
      </c>
    </row>
    <row r="20" spans="5:16" x14ac:dyDescent="0.3">
      <c r="E20" s="134"/>
      <c r="F20" s="134"/>
      <c r="G20" s="119">
        <v>105</v>
      </c>
      <c r="H20" s="137">
        <v>208</v>
      </c>
      <c r="I20" s="137">
        <v>235</v>
      </c>
      <c r="J20" s="137">
        <v>266</v>
      </c>
      <c r="K20" s="137">
        <v>302</v>
      </c>
      <c r="L20" s="137">
        <v>342</v>
      </c>
      <c r="M20" s="137">
        <v>387</v>
      </c>
      <c r="N20" s="137">
        <v>439</v>
      </c>
      <c r="O20" s="137">
        <v>499</v>
      </c>
      <c r="P20" s="137">
        <v>567</v>
      </c>
    </row>
    <row r="21" spans="5:16" x14ac:dyDescent="0.3">
      <c r="F21" s="138"/>
      <c r="G21" s="119">
        <v>115</v>
      </c>
      <c r="H21" s="137">
        <v>261</v>
      </c>
      <c r="I21" s="137">
        <v>295</v>
      </c>
      <c r="J21" s="137">
        <v>333</v>
      </c>
      <c r="K21" s="137">
        <v>376</v>
      </c>
      <c r="L21" s="137">
        <v>425</v>
      </c>
      <c r="M21" s="137">
        <v>480</v>
      </c>
      <c r="N21" s="137">
        <v>544</v>
      </c>
      <c r="O21" s="137">
        <v>616</v>
      </c>
      <c r="P21" s="137">
        <v>699</v>
      </c>
    </row>
    <row r="22" spans="5:16" x14ac:dyDescent="0.3">
      <c r="G22" s="119">
        <v>125</v>
      </c>
      <c r="H22" s="137">
        <v>326</v>
      </c>
      <c r="I22" s="137">
        <v>367</v>
      </c>
      <c r="J22" s="137">
        <v>414</v>
      </c>
      <c r="K22" s="137">
        <v>466</v>
      </c>
      <c r="L22" s="137">
        <v>525</v>
      </c>
      <c r="M22" s="137">
        <v>592</v>
      </c>
      <c r="N22" s="137">
        <v>669</v>
      </c>
      <c r="O22" s="137">
        <v>757</v>
      </c>
      <c r="P22" s="137">
        <v>857</v>
      </c>
    </row>
    <row r="23" spans="5:16" x14ac:dyDescent="0.3">
      <c r="G23" s="119">
        <v>133</v>
      </c>
      <c r="H23" s="137">
        <v>388</v>
      </c>
      <c r="I23" s="137">
        <v>437</v>
      </c>
      <c r="J23" s="137">
        <v>491</v>
      </c>
      <c r="K23" s="137">
        <v>552</v>
      </c>
      <c r="L23" s="137">
        <v>621</v>
      </c>
      <c r="M23" s="137">
        <v>700</v>
      </c>
      <c r="N23" s="137">
        <v>789</v>
      </c>
      <c r="O23" s="137">
        <v>892</v>
      </c>
      <c r="P23" s="137">
        <v>1009</v>
      </c>
    </row>
  </sheetData>
  <sheetProtection algorithmName="SHA-512" hashValue="RGiIIMFk1J3bs/LF3gVuo8hf3vhds7efQOgXyvmPAQOPS0c+b7R13c/eMC/PH/rXgkBNgkd148ABY7ibUMbLAg==" saltValue="RI0HhZeOPOncQFnNUcPdwQ==" spinCount="100000" sheet="1" objects="1" scenarios="1"/>
  <mergeCells count="1">
    <mergeCell ref="H7:P7"/>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N95"/>
  <sheetViews>
    <sheetView workbookViewId="0"/>
  </sheetViews>
  <sheetFormatPr defaultColWidth="9.109375" defaultRowHeight="14.4" x14ac:dyDescent="0.3"/>
  <cols>
    <col min="1" max="16384" width="9.109375" style="11"/>
  </cols>
  <sheetData>
    <row r="4" spans="5:14" ht="15.6" x14ac:dyDescent="0.35">
      <c r="E4" s="135" t="s">
        <v>27</v>
      </c>
      <c r="F4" s="231" t="s">
        <v>166</v>
      </c>
      <c r="G4" s="231"/>
      <c r="H4" s="231"/>
      <c r="I4" s="231"/>
      <c r="J4" s="231"/>
      <c r="K4" s="231"/>
      <c r="L4" s="231"/>
      <c r="M4" s="231"/>
      <c r="N4" s="231"/>
    </row>
    <row r="5" spans="5:14" ht="15.6" x14ac:dyDescent="0.35">
      <c r="E5" s="119" t="s">
        <v>165</v>
      </c>
      <c r="F5" s="136">
        <v>0.9</v>
      </c>
      <c r="G5" s="136">
        <v>0.95</v>
      </c>
      <c r="H5" s="136">
        <v>1</v>
      </c>
      <c r="I5" s="136">
        <v>1.05</v>
      </c>
      <c r="J5" s="136">
        <v>1.1000000000000001</v>
      </c>
      <c r="K5" s="136">
        <v>1.1499999999999999</v>
      </c>
      <c r="L5" s="136">
        <v>1.2</v>
      </c>
      <c r="M5" s="136">
        <v>1.25</v>
      </c>
      <c r="N5" s="136">
        <v>1.3</v>
      </c>
    </row>
    <row r="6" spans="5:14" x14ac:dyDescent="0.3">
      <c r="E6" s="119">
        <v>-40</v>
      </c>
      <c r="F6" s="137">
        <v>0.81131429100000008</v>
      </c>
      <c r="G6" s="137">
        <v>1.145027797</v>
      </c>
      <c r="H6" s="137">
        <v>1.445424834</v>
      </c>
      <c r="I6" s="137">
        <v>1.7054676209999999</v>
      </c>
      <c r="J6" s="137">
        <v>2.1074928009999998</v>
      </c>
      <c r="K6" s="137">
        <v>2.5571037130000001</v>
      </c>
      <c r="L6" s="137">
        <v>3.062823174</v>
      </c>
      <c r="M6" s="137">
        <v>3.7505564439999999</v>
      </c>
      <c r="N6" s="137">
        <v>4.6721183810000007</v>
      </c>
    </row>
    <row r="7" spans="5:14" x14ac:dyDescent="0.3">
      <c r="E7" s="119">
        <v>-20</v>
      </c>
      <c r="F7" s="137">
        <v>1.3178408369999999</v>
      </c>
      <c r="G7" s="137">
        <v>1.7448533689999999</v>
      </c>
      <c r="H7" s="137">
        <v>2.144715562</v>
      </c>
      <c r="I7" s="137">
        <v>2.523432127</v>
      </c>
      <c r="J7" s="137">
        <v>3.083032583</v>
      </c>
      <c r="K7" s="137">
        <v>3.7338013599999997</v>
      </c>
      <c r="L7" s="137">
        <v>4.4707345320000007</v>
      </c>
      <c r="M7" s="137">
        <v>5.405112978</v>
      </c>
      <c r="N7" s="137">
        <v>6.6019231830000003</v>
      </c>
    </row>
    <row r="8" spans="5:14" x14ac:dyDescent="0.3">
      <c r="E8" s="119">
        <v>-10</v>
      </c>
      <c r="F8" s="137">
        <v>1.7452084870000002</v>
      </c>
      <c r="G8" s="137">
        <v>2.2514444819999997</v>
      </c>
      <c r="H8" s="137">
        <v>2.7271726640000002</v>
      </c>
      <c r="I8" s="137">
        <v>3.2207858500000004</v>
      </c>
      <c r="J8" s="137">
        <v>3.9088742379999997</v>
      </c>
      <c r="K8" s="137">
        <v>4.7083403559999999</v>
      </c>
      <c r="L8" s="137">
        <v>5.5786685360000003</v>
      </c>
      <c r="M8" s="137">
        <v>6.7049395120000002</v>
      </c>
      <c r="N8" s="137">
        <v>8.138290189000001</v>
      </c>
    </row>
    <row r="9" spans="5:14" x14ac:dyDescent="0.3">
      <c r="E9" s="119">
        <v>0</v>
      </c>
      <c r="F9" s="137">
        <v>2.337931711</v>
      </c>
      <c r="G9" s="137">
        <v>2.9574824400000002</v>
      </c>
      <c r="H9" s="137">
        <v>3.5765166349999999</v>
      </c>
      <c r="I9" s="137">
        <v>4.2146626029999998</v>
      </c>
      <c r="J9" s="137">
        <v>5.0631349220000006</v>
      </c>
      <c r="K9" s="137">
        <v>6.0365117149999996</v>
      </c>
      <c r="L9" s="137">
        <v>7.1338244809999996</v>
      </c>
      <c r="M9" s="137">
        <v>8.4969587630000003</v>
      </c>
      <c r="N9" s="137">
        <v>10.199875829</v>
      </c>
    </row>
    <row r="10" spans="5:14" x14ac:dyDescent="0.3">
      <c r="E10" s="119">
        <v>10</v>
      </c>
      <c r="F10" s="137">
        <v>3.1694552440000003</v>
      </c>
      <c r="G10" s="137">
        <v>3.939608035</v>
      </c>
      <c r="H10" s="137">
        <v>4.7167663229999999</v>
      </c>
      <c r="I10" s="137">
        <v>5.5090655260000005</v>
      </c>
      <c r="J10" s="137">
        <v>6.5535303660000004</v>
      </c>
      <c r="K10" s="137">
        <v>7.7556027649999999</v>
      </c>
      <c r="L10" s="137">
        <v>9.1193181479999996</v>
      </c>
      <c r="M10" s="137">
        <v>10.796117943999999</v>
      </c>
      <c r="N10" s="137">
        <v>12.862933495</v>
      </c>
    </row>
    <row r="11" spans="5:14" x14ac:dyDescent="0.3">
      <c r="E11" s="119">
        <v>25</v>
      </c>
      <c r="F11" s="137">
        <v>4.9934027780000001</v>
      </c>
      <c r="G11" s="137">
        <v>6.0328636909999993</v>
      </c>
      <c r="H11" s="137">
        <v>7.1147449920000003</v>
      </c>
      <c r="I11" s="137">
        <v>8.2521537399999989</v>
      </c>
      <c r="J11" s="137">
        <v>9.6819209599999994</v>
      </c>
      <c r="K11" s="137">
        <v>11.33683261</v>
      </c>
      <c r="L11" s="137">
        <v>13.206396588</v>
      </c>
      <c r="M11" s="137">
        <v>15.488155016</v>
      </c>
      <c r="N11" s="137">
        <v>18.248999101000003</v>
      </c>
    </row>
    <row r="12" spans="5:14" x14ac:dyDescent="0.3">
      <c r="E12" s="119">
        <v>40</v>
      </c>
      <c r="F12" s="137">
        <v>7.9072056110000002</v>
      </c>
      <c r="G12" s="137">
        <v>9.3716129189999986</v>
      </c>
      <c r="H12" s="137">
        <v>10.894872864000002</v>
      </c>
      <c r="I12" s="137">
        <v>12.567088417999999</v>
      </c>
      <c r="J12" s="137">
        <v>14.576600934</v>
      </c>
      <c r="K12" s="137">
        <v>16.905654544000001</v>
      </c>
      <c r="L12" s="137">
        <v>19.554539797</v>
      </c>
      <c r="M12" s="137">
        <v>22.708983094000001</v>
      </c>
      <c r="N12" s="137">
        <v>26.502605427999999</v>
      </c>
    </row>
    <row r="13" spans="5:14" x14ac:dyDescent="0.3">
      <c r="E13" s="119">
        <v>55</v>
      </c>
      <c r="F13" s="137">
        <v>12.158025455999999</v>
      </c>
      <c r="G13" s="137">
        <v>14.167634823</v>
      </c>
      <c r="H13" s="137">
        <v>16.341889528999999</v>
      </c>
      <c r="I13" s="137">
        <v>18.707843065000002</v>
      </c>
      <c r="J13" s="137">
        <v>21.538096460000002</v>
      </c>
      <c r="K13" s="137">
        <v>24.771892353999998</v>
      </c>
      <c r="L13" s="137">
        <v>28.456396796</v>
      </c>
      <c r="M13" s="137">
        <v>32.765681878999999</v>
      </c>
      <c r="N13" s="137">
        <v>37.877790552</v>
      </c>
    </row>
    <row r="14" spans="5:14" x14ac:dyDescent="0.3">
      <c r="E14" s="119">
        <v>70</v>
      </c>
      <c r="F14" s="137">
        <v>18.509493856000002</v>
      </c>
      <c r="G14" s="137">
        <v>21.339585833000001</v>
      </c>
      <c r="H14" s="137">
        <v>24.394337991</v>
      </c>
      <c r="I14" s="137">
        <v>27.771117064999999</v>
      </c>
      <c r="J14" s="137">
        <v>31.695487169</v>
      </c>
      <c r="K14" s="137">
        <v>36.177843557999999</v>
      </c>
      <c r="L14" s="137">
        <v>41.280234927999999</v>
      </c>
      <c r="M14" s="137">
        <v>47.249855271999998</v>
      </c>
      <c r="N14" s="137">
        <v>54.178970547999995</v>
      </c>
    </row>
    <row r="15" spans="5:14" x14ac:dyDescent="0.3">
      <c r="E15" s="119">
        <v>85</v>
      </c>
      <c r="F15" s="137">
        <v>28.113159688</v>
      </c>
      <c r="G15" s="137">
        <v>32.084502139000001</v>
      </c>
      <c r="H15" s="137">
        <v>36.400405317999997</v>
      </c>
      <c r="I15" s="137">
        <v>41.197653990999996</v>
      </c>
      <c r="J15" s="137">
        <v>46.723022468000003</v>
      </c>
      <c r="K15" s="137">
        <v>52.978867436000002</v>
      </c>
      <c r="L15" s="137">
        <v>60.086057946000004</v>
      </c>
      <c r="M15" s="137">
        <v>68.274806923</v>
      </c>
      <c r="N15" s="137">
        <v>77.760250944000006</v>
      </c>
    </row>
    <row r="16" spans="5:14" x14ac:dyDescent="0.3">
      <c r="E16" s="119">
        <v>100</v>
      </c>
      <c r="F16" s="137">
        <v>41.553901310000001</v>
      </c>
      <c r="G16" s="137">
        <v>47.118300417</v>
      </c>
      <c r="H16" s="137">
        <v>53.118331724000001</v>
      </c>
      <c r="I16" s="137">
        <v>59.786629411</v>
      </c>
      <c r="J16" s="137">
        <v>67.387336257000001</v>
      </c>
      <c r="K16" s="137">
        <v>76.000611943999999</v>
      </c>
      <c r="L16" s="137">
        <v>85.761691634000002</v>
      </c>
      <c r="M16" s="137">
        <v>96.908633120000005</v>
      </c>
      <c r="N16" s="137">
        <v>109.685369771</v>
      </c>
    </row>
    <row r="17" spans="5:14" x14ac:dyDescent="0.3">
      <c r="E17" s="119">
        <v>105</v>
      </c>
      <c r="F17" s="137">
        <v>47.695785876999999</v>
      </c>
      <c r="G17" s="137">
        <v>53.951114310999998</v>
      </c>
      <c r="H17" s="137">
        <v>60.734760586</v>
      </c>
      <c r="I17" s="137">
        <v>68.249238469999995</v>
      </c>
      <c r="J17" s="137">
        <v>76.771765520000002</v>
      </c>
      <c r="K17" s="137">
        <v>86.432088719000006</v>
      </c>
      <c r="L17" s="137">
        <v>97.335807068999998</v>
      </c>
      <c r="M17" s="137">
        <v>109.789935704</v>
      </c>
      <c r="N17" s="137">
        <v>124.003186805</v>
      </c>
    </row>
    <row r="18" spans="5:14" x14ac:dyDescent="0.3">
      <c r="E18" s="119">
        <v>115</v>
      </c>
      <c r="F18" s="137">
        <v>61.008943502000001</v>
      </c>
      <c r="G18" s="137">
        <v>68.722448548000003</v>
      </c>
      <c r="H18" s="137">
        <v>77.061638168000002</v>
      </c>
      <c r="I18" s="137">
        <v>86.364164445</v>
      </c>
      <c r="J18" s="137">
        <v>96.856334012000005</v>
      </c>
      <c r="K18" s="137">
        <v>108.666667084</v>
      </c>
      <c r="L18" s="137">
        <v>121.992867203</v>
      </c>
      <c r="M18" s="137">
        <v>137.16745339000002</v>
      </c>
      <c r="N18" s="137">
        <v>154.433261378</v>
      </c>
    </row>
    <row r="19" spans="5:14" x14ac:dyDescent="0.3">
      <c r="E19" s="119">
        <v>125</v>
      </c>
      <c r="F19" s="137">
        <v>77.754439931999997</v>
      </c>
      <c r="G19" s="137">
        <v>87.294927150999996</v>
      </c>
      <c r="H19" s="137">
        <v>97.612508090000006</v>
      </c>
      <c r="I19" s="137">
        <v>109.05245371400001</v>
      </c>
      <c r="J19" s="137">
        <v>121.923845294</v>
      </c>
      <c r="K19" s="137">
        <v>136.40185255899999</v>
      </c>
      <c r="L19" s="137">
        <v>152.71268529100001</v>
      </c>
      <c r="M19" s="137">
        <v>171.14253583300001</v>
      </c>
      <c r="N19" s="137">
        <v>192.07696483000001</v>
      </c>
    </row>
    <row r="20" spans="5:14" x14ac:dyDescent="0.3">
      <c r="E20" s="119">
        <v>133</v>
      </c>
      <c r="F20" s="137">
        <v>94.232726660999987</v>
      </c>
      <c r="G20" s="137">
        <v>105.52917257199999</v>
      </c>
      <c r="H20" s="137">
        <v>117.724904873</v>
      </c>
      <c r="I20" s="137">
        <v>131.24932506800002</v>
      </c>
      <c r="J20" s="137">
        <v>146.42333015299999</v>
      </c>
      <c r="K20" s="137">
        <v>163.420669387</v>
      </c>
      <c r="L20" s="137">
        <v>182.51300757999999</v>
      </c>
      <c r="M20" s="137">
        <v>204.11199036600001</v>
      </c>
      <c r="N20" s="137">
        <v>228.61489726600001</v>
      </c>
    </row>
    <row r="94" spans="2:2" x14ac:dyDescent="0.3">
      <c r="B94" s="11" t="s">
        <v>32</v>
      </c>
    </row>
    <row r="95" spans="2:2" x14ac:dyDescent="0.3">
      <c r="B95" s="11" t="s">
        <v>37</v>
      </c>
    </row>
  </sheetData>
  <sheetProtection algorithmName="SHA-512" hashValue="1yLjplwuwDwWNm2UD/kBZJSvrGoeTcW/0wNWU6VyT4l8BHfTSy+UMeWDzKXjou4EqVUGTOkxJe96SWqjPIEiTg==" saltValue="aCVHxk9X5z564A6bflggxQ==" spinCount="100000" sheet="1" objects="1" scenarios="1"/>
  <mergeCells count="1">
    <mergeCell ref="F4:N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P25"/>
  <sheetViews>
    <sheetView workbookViewId="0">
      <selection activeCell="I12" sqref="I12"/>
    </sheetView>
  </sheetViews>
  <sheetFormatPr defaultColWidth="9.109375" defaultRowHeight="14.4" x14ac:dyDescent="0.3"/>
  <cols>
    <col min="1" max="2" width="9.109375" style="11"/>
    <col min="3" max="3" width="16" style="11" customWidth="1"/>
    <col min="4" max="4" width="13.6640625" style="139" bestFit="1" customWidth="1"/>
    <col min="5" max="5" width="22.109375" style="11" customWidth="1"/>
    <col min="6" max="10" width="9.109375" style="11"/>
    <col min="11" max="11" width="9.5546875" style="11" bestFit="1" customWidth="1"/>
    <col min="12" max="12" width="13.88671875" style="11" bestFit="1" customWidth="1"/>
    <col min="13" max="13" width="13.6640625" style="11" bestFit="1" customWidth="1"/>
    <col min="14" max="16384" width="9.109375" style="11"/>
  </cols>
  <sheetData>
    <row r="4" spans="2:15" x14ac:dyDescent="0.3">
      <c r="O4" s="139"/>
    </row>
    <row r="5" spans="2:15" x14ac:dyDescent="0.3">
      <c r="B5" s="140" t="s">
        <v>23</v>
      </c>
      <c r="C5" s="120" t="s">
        <v>14</v>
      </c>
      <c r="D5" s="141" t="s">
        <v>15</v>
      </c>
      <c r="K5" s="140" t="s">
        <v>22</v>
      </c>
      <c r="L5" s="119" t="s">
        <v>14</v>
      </c>
      <c r="M5" s="136" t="s">
        <v>15</v>
      </c>
    </row>
    <row r="6" spans="2:15" x14ac:dyDescent="0.3">
      <c r="B6" s="140"/>
      <c r="C6" s="142" t="s">
        <v>71</v>
      </c>
      <c r="D6" s="118">
        <v>0</v>
      </c>
      <c r="E6" s="143"/>
      <c r="F6" s="143"/>
      <c r="G6" s="143"/>
      <c r="H6" s="143"/>
      <c r="I6" s="143"/>
      <c r="J6" s="143"/>
      <c r="K6" s="143"/>
      <c r="L6" s="144" t="s">
        <v>71</v>
      </c>
      <c r="M6" s="145">
        <v>0</v>
      </c>
      <c r="N6" s="143"/>
    </row>
    <row r="7" spans="2:15" x14ac:dyDescent="0.3">
      <c r="C7" s="118" t="s">
        <v>16</v>
      </c>
      <c r="D7" s="118">
        <v>0.31</v>
      </c>
      <c r="L7" s="12" t="s">
        <v>16</v>
      </c>
      <c r="M7" s="146">
        <v>0.28999999999999998</v>
      </c>
    </row>
    <row r="8" spans="2:15" x14ac:dyDescent="0.3">
      <c r="C8" s="118" t="s">
        <v>17</v>
      </c>
      <c r="D8" s="118">
        <v>0.53</v>
      </c>
      <c r="L8" s="12" t="s">
        <v>24</v>
      </c>
      <c r="M8" s="146">
        <v>0.73</v>
      </c>
    </row>
    <row r="9" spans="2:15" x14ac:dyDescent="0.3">
      <c r="C9" s="118" t="s">
        <v>18</v>
      </c>
      <c r="D9" s="118">
        <v>0.74</v>
      </c>
      <c r="L9" s="12" t="s">
        <v>25</v>
      </c>
      <c r="M9" s="146">
        <v>0.56999999999999995</v>
      </c>
    </row>
    <row r="10" spans="2:15" x14ac:dyDescent="0.3">
      <c r="C10" s="118" t="s">
        <v>19</v>
      </c>
      <c r="D10" s="118">
        <v>0.87</v>
      </c>
      <c r="L10" s="12" t="s">
        <v>19</v>
      </c>
      <c r="M10" s="146">
        <v>0.8</v>
      </c>
    </row>
    <row r="11" spans="2:15" x14ac:dyDescent="0.3">
      <c r="C11" s="118" t="s">
        <v>21</v>
      </c>
      <c r="D11" s="118">
        <v>1</v>
      </c>
      <c r="L11" s="12" t="s">
        <v>26</v>
      </c>
      <c r="M11" s="146">
        <v>1</v>
      </c>
    </row>
    <row r="12" spans="2:15" x14ac:dyDescent="0.3">
      <c r="C12" s="118" t="s">
        <v>20</v>
      </c>
      <c r="D12" s="118">
        <v>1.1399999999999999</v>
      </c>
      <c r="L12" s="12" t="s">
        <v>20</v>
      </c>
      <c r="M12" s="146">
        <v>1.21</v>
      </c>
    </row>
    <row r="13" spans="2:15" x14ac:dyDescent="0.3">
      <c r="O13" s="139"/>
    </row>
    <row r="19" spans="3:16" ht="18" x14ac:dyDescent="0.35">
      <c r="C19" s="147" t="s">
        <v>110</v>
      </c>
      <c r="D19" s="148"/>
      <c r="E19" s="149"/>
      <c r="F19" s="149"/>
      <c r="G19" s="149"/>
      <c r="H19" s="149"/>
      <c r="I19" s="149"/>
      <c r="J19" s="149"/>
      <c r="K19" s="149"/>
      <c r="L19" s="149"/>
      <c r="M19" s="149"/>
      <c r="N19" s="149"/>
      <c r="O19" s="150"/>
      <c r="P19" s="151"/>
    </row>
    <row r="20" spans="3:16" ht="20.399999999999999" x14ac:dyDescent="0.45">
      <c r="C20" s="151" t="s">
        <v>111</v>
      </c>
      <c r="D20" s="152" t="s">
        <v>91</v>
      </c>
      <c r="E20" s="152"/>
      <c r="F20" s="152"/>
      <c r="G20" s="152"/>
      <c r="H20" s="152"/>
      <c r="I20" s="152"/>
      <c r="J20" s="152"/>
      <c r="K20" s="152"/>
      <c r="L20" s="152"/>
      <c r="M20" s="152"/>
      <c r="N20" s="152"/>
      <c r="O20" s="153"/>
      <c r="P20" s="151"/>
    </row>
    <row r="21" spans="3:16" ht="20.399999999999999" x14ac:dyDescent="0.45">
      <c r="C21" s="151" t="s">
        <v>112</v>
      </c>
      <c r="D21" s="152" t="s">
        <v>117</v>
      </c>
      <c r="E21" s="152"/>
      <c r="F21" s="152"/>
      <c r="G21" s="152"/>
      <c r="H21" s="152"/>
      <c r="I21" s="152"/>
      <c r="J21" s="152"/>
      <c r="K21" s="152"/>
      <c r="L21" s="152"/>
      <c r="M21" s="152"/>
      <c r="N21" s="152"/>
      <c r="O21" s="153"/>
      <c r="P21" s="151"/>
    </row>
    <row r="22" spans="3:16" ht="20.399999999999999" x14ac:dyDescent="0.45">
      <c r="C22" s="151" t="s">
        <v>113</v>
      </c>
      <c r="D22" s="152" t="s">
        <v>118</v>
      </c>
      <c r="E22" s="152"/>
      <c r="F22" s="152"/>
      <c r="G22" s="152"/>
      <c r="H22" s="152"/>
      <c r="I22" s="152"/>
      <c r="J22" s="152"/>
      <c r="K22" s="152"/>
      <c r="L22" s="152"/>
      <c r="M22" s="152"/>
      <c r="N22" s="152"/>
      <c r="O22" s="153"/>
      <c r="P22" s="151"/>
    </row>
    <row r="23" spans="3:16" ht="20.399999999999999" x14ac:dyDescent="0.45">
      <c r="C23" s="151" t="s">
        <v>114</v>
      </c>
      <c r="D23" s="152" t="s">
        <v>119</v>
      </c>
      <c r="E23" s="152"/>
      <c r="F23" s="152"/>
      <c r="G23" s="152"/>
      <c r="H23" s="152"/>
      <c r="I23" s="152"/>
      <c r="J23" s="152"/>
      <c r="K23" s="152"/>
      <c r="L23" s="152"/>
      <c r="M23" s="152"/>
      <c r="N23" s="152"/>
      <c r="O23" s="153"/>
      <c r="P23" s="151"/>
    </row>
    <row r="24" spans="3:16" ht="20.399999999999999" x14ac:dyDescent="0.45">
      <c r="C24" s="151" t="s">
        <v>115</v>
      </c>
      <c r="D24" s="152" t="s">
        <v>120</v>
      </c>
      <c r="E24" s="152"/>
      <c r="F24" s="152"/>
      <c r="G24" s="152"/>
      <c r="H24" s="152"/>
      <c r="I24" s="152"/>
      <c r="J24" s="152"/>
      <c r="K24" s="152"/>
      <c r="L24" s="152"/>
      <c r="M24" s="152"/>
      <c r="N24" s="152"/>
      <c r="O24" s="153"/>
      <c r="P24" s="151"/>
    </row>
    <row r="25" spans="3:16" ht="20.399999999999999" x14ac:dyDescent="0.45">
      <c r="C25" s="154" t="s">
        <v>116</v>
      </c>
      <c r="D25" s="155" t="s">
        <v>121</v>
      </c>
      <c r="E25" s="155"/>
      <c r="F25" s="155"/>
      <c r="G25" s="155"/>
      <c r="H25" s="155"/>
      <c r="I25" s="155"/>
      <c r="J25" s="155"/>
      <c r="K25" s="155"/>
      <c r="L25" s="155"/>
      <c r="M25" s="155"/>
      <c r="N25" s="155"/>
      <c r="O25" s="156"/>
      <c r="P25" s="151"/>
    </row>
  </sheetData>
  <sheetProtection algorithmName="SHA-512" hashValue="5f6zVQWgS6w5BnVyfE69Q7HVMZy7TM6x9EDQqO1f+S2+m4YjpMvqdhQHAOcY5N+2FUt/K9TYcRDGp4cAWGhcMw==" saltValue="E+aMRC+JXjLRc92sTGiTEA==" spinCount="100000" sheet="1" objects="1" scenarios="1"/>
  <pageMargins left="0.7" right="0.7" top="0.75" bottom="0.75" header="0.3" footer="0.3"/>
  <pageSetup paperSize="9" orientation="portrait"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K25"/>
  <sheetViews>
    <sheetView showGridLines="0" workbookViewId="0">
      <selection activeCell="L15" sqref="L15"/>
    </sheetView>
  </sheetViews>
  <sheetFormatPr defaultRowHeight="14.4" x14ac:dyDescent="0.3"/>
  <cols>
    <col min="1" max="1" width="5" customWidth="1"/>
    <col min="2" max="2" width="4.44140625" customWidth="1"/>
    <col min="3" max="3" width="12.6640625" customWidth="1"/>
    <col min="4" max="4" width="17.44140625" customWidth="1"/>
    <col min="5" max="5" width="12.33203125" customWidth="1"/>
    <col min="6" max="6" width="12" customWidth="1"/>
    <col min="7" max="7" width="9.33203125" customWidth="1"/>
    <col min="8" max="8" width="11" customWidth="1"/>
    <col min="9" max="9" width="9.6640625" bestFit="1" customWidth="1"/>
    <col min="10" max="10" width="13.5546875" customWidth="1"/>
    <col min="11" max="11" width="62.88671875" customWidth="1"/>
    <col min="12" max="12" width="2.5546875" customWidth="1"/>
    <col min="13" max="13" width="23" bestFit="1" customWidth="1"/>
  </cols>
  <sheetData>
    <row r="2" spans="3:11" x14ac:dyDescent="0.3">
      <c r="C2" s="232" t="s">
        <v>104</v>
      </c>
      <c r="D2" s="232"/>
      <c r="E2" s="232"/>
      <c r="F2" s="232"/>
      <c r="G2" s="232"/>
    </row>
    <row r="3" spans="3:11" x14ac:dyDescent="0.3">
      <c r="C3" s="233" t="s">
        <v>122</v>
      </c>
      <c r="D3" s="233"/>
      <c r="E3" s="233"/>
      <c r="F3" s="233"/>
      <c r="G3" s="233"/>
    </row>
    <row r="5" spans="3:11" ht="20.399999999999999" x14ac:dyDescent="0.45">
      <c r="C5" s="234" t="s">
        <v>132</v>
      </c>
      <c r="D5" s="235"/>
      <c r="E5" s="235"/>
      <c r="F5" s="235"/>
      <c r="G5" s="235"/>
      <c r="H5" s="235"/>
      <c r="I5" s="235"/>
    </row>
    <row r="6" spans="3:11" ht="15.6" x14ac:dyDescent="0.3">
      <c r="C6" s="15"/>
      <c r="D6" s="25"/>
      <c r="E6" s="25"/>
      <c r="F6" s="25"/>
      <c r="G6" s="25"/>
    </row>
    <row r="7" spans="3:11" ht="15.6" x14ac:dyDescent="0.3">
      <c r="C7" s="15" t="s">
        <v>102</v>
      </c>
      <c r="D7" s="25"/>
      <c r="E7" s="25"/>
      <c r="F7" s="25"/>
      <c r="G7" s="25"/>
    </row>
    <row r="8" spans="3:11" ht="15" thickBot="1" x14ac:dyDescent="0.35"/>
    <row r="9" spans="3:11" ht="55.8" thickBot="1" x14ac:dyDescent="0.35">
      <c r="C9" s="68" t="s">
        <v>53</v>
      </c>
      <c r="D9" s="66" t="s">
        <v>52</v>
      </c>
      <c r="E9" s="66" t="s">
        <v>51</v>
      </c>
      <c r="F9" s="66" t="s">
        <v>50</v>
      </c>
      <c r="G9" s="66" t="s">
        <v>49</v>
      </c>
      <c r="H9" s="66" t="s">
        <v>123</v>
      </c>
      <c r="I9" s="66" t="s">
        <v>124</v>
      </c>
      <c r="J9" s="93" t="s">
        <v>125</v>
      </c>
      <c r="K9" s="67" t="s">
        <v>103</v>
      </c>
    </row>
    <row r="10" spans="3:11" ht="70.5" customHeight="1" x14ac:dyDescent="0.3">
      <c r="C10" s="69" t="s">
        <v>158</v>
      </c>
      <c r="D10" s="70">
        <v>56500000</v>
      </c>
      <c r="E10" s="71">
        <v>9</v>
      </c>
      <c r="F10" s="70">
        <v>3E-11</v>
      </c>
      <c r="G10" s="72">
        <v>0.5</v>
      </c>
      <c r="H10" s="73">
        <v>1</v>
      </c>
      <c r="I10" s="74">
        <f>'Power Estimation'!$G$61</f>
        <v>3.3</v>
      </c>
      <c r="J10" s="124">
        <f>(I10^2) * F10 * (D10/2) * (E10*G10) * H10 * 1000</f>
        <v>41.531737499999991</v>
      </c>
      <c r="K10" s="87" t="s">
        <v>159</v>
      </c>
    </row>
    <row r="11" spans="3:11" ht="30" customHeight="1" x14ac:dyDescent="0.3">
      <c r="C11" s="75" t="s">
        <v>47</v>
      </c>
      <c r="D11" s="76">
        <v>4000000</v>
      </c>
      <c r="E11" s="77">
        <v>2</v>
      </c>
      <c r="F11" s="76">
        <v>3E-11</v>
      </c>
      <c r="G11" s="78">
        <v>1</v>
      </c>
      <c r="H11" s="79">
        <v>1</v>
      </c>
      <c r="I11" s="80">
        <f>'Power Estimation'!$G$61</f>
        <v>3.3</v>
      </c>
      <c r="J11" s="125">
        <f>(I11^2) * F11 * (D11/2) * (E11*G11) * H11 * 1000</f>
        <v>1.3068</v>
      </c>
      <c r="K11" s="88" t="s">
        <v>45</v>
      </c>
    </row>
    <row r="12" spans="3:11" ht="30" customHeight="1" x14ac:dyDescent="0.3">
      <c r="C12" s="75" t="s">
        <v>46</v>
      </c>
      <c r="D12" s="76">
        <v>4000000</v>
      </c>
      <c r="E12" s="77">
        <v>2</v>
      </c>
      <c r="F12" s="76">
        <v>3E-11</v>
      </c>
      <c r="G12" s="78">
        <v>1</v>
      </c>
      <c r="H12" s="79">
        <v>1</v>
      </c>
      <c r="I12" s="80">
        <f>'Power Estimation'!$G$61</f>
        <v>3.3</v>
      </c>
      <c r="J12" s="125">
        <f>(I12^2) * F12 * (D12/2) * (E12*G12) * H12 * 1000</f>
        <v>1.3068</v>
      </c>
      <c r="K12" s="88" t="s">
        <v>45</v>
      </c>
    </row>
    <row r="13" spans="3:11" ht="30" customHeight="1" x14ac:dyDescent="0.3">
      <c r="C13" s="127" t="s">
        <v>160</v>
      </c>
      <c r="D13" s="95">
        <v>12000000</v>
      </c>
      <c r="E13" s="96">
        <v>3</v>
      </c>
      <c r="F13" s="76">
        <v>3E-11</v>
      </c>
      <c r="G13" s="128">
        <v>0.5</v>
      </c>
      <c r="H13" s="129">
        <v>0.5</v>
      </c>
      <c r="I13" s="80">
        <f>'Power Estimation'!$G$61</f>
        <v>3.3</v>
      </c>
      <c r="J13" s="125">
        <f>(I13^2) * F13 * (D13/2) * (E13*G13) * H13 * 1000</f>
        <v>1.4701499999999996</v>
      </c>
      <c r="K13" s="130" t="s">
        <v>161</v>
      </c>
    </row>
    <row r="14" spans="3:11" ht="18.75" customHeight="1" thickBot="1" x14ac:dyDescent="0.35">
      <c r="C14" s="81" t="s">
        <v>44</v>
      </c>
      <c r="D14" s="82">
        <v>115000</v>
      </c>
      <c r="E14" s="83">
        <v>1</v>
      </c>
      <c r="F14" s="82">
        <v>3E-11</v>
      </c>
      <c r="G14" s="84">
        <v>1</v>
      </c>
      <c r="H14" s="85">
        <v>0.25</v>
      </c>
      <c r="I14" s="86">
        <f>'Power Estimation'!$G$61</f>
        <v>3.3</v>
      </c>
      <c r="J14" s="126">
        <f>(I14^2) * F14 * (D14/2) * (E14*G14) * H14 * 1000</f>
        <v>4.6963124999999991E-3</v>
      </c>
      <c r="K14" s="89" t="s">
        <v>43</v>
      </c>
    </row>
    <row r="15" spans="3:11" ht="15" thickBot="1" x14ac:dyDescent="0.35">
      <c r="D15" s="23"/>
      <c r="E15" s="22"/>
      <c r="F15" s="23"/>
      <c r="G15" s="22"/>
      <c r="H15" s="21"/>
      <c r="I15" s="21"/>
      <c r="J15" s="21"/>
      <c r="K15" s="20"/>
    </row>
    <row r="16" spans="3:11" ht="15.6" thickTop="1" thickBot="1" x14ac:dyDescent="0.35">
      <c r="F16" s="16" t="s">
        <v>42</v>
      </c>
      <c r="I16" s="19"/>
      <c r="J16" s="65">
        <f>SUM(J10:J14)</f>
        <v>45.620183812499995</v>
      </c>
      <c r="K16" s="18"/>
    </row>
    <row r="17" spans="3:11" ht="15" thickTop="1" x14ac:dyDescent="0.3"/>
    <row r="18" spans="3:11" ht="16.2" x14ac:dyDescent="0.35">
      <c r="C18" s="17"/>
      <c r="D18" s="17"/>
      <c r="E18" s="17"/>
      <c r="F18" s="17"/>
      <c r="G18" s="17"/>
      <c r="H18" s="17"/>
      <c r="I18" s="17"/>
      <c r="J18" s="16"/>
      <c r="K18" s="16"/>
    </row>
    <row r="19" spans="3:11" ht="15.6" x14ac:dyDescent="0.3">
      <c r="C19" s="15"/>
      <c r="D19" s="15"/>
      <c r="E19" s="15"/>
      <c r="F19" s="15"/>
      <c r="G19" s="15"/>
      <c r="H19" s="15"/>
      <c r="I19" s="15"/>
    </row>
    <row r="20" spans="3:11" ht="15.6" x14ac:dyDescent="0.3">
      <c r="C20" s="15"/>
      <c r="D20" s="15"/>
      <c r="E20" s="15"/>
      <c r="F20" s="15"/>
      <c r="G20" s="15"/>
      <c r="H20" s="15"/>
      <c r="I20" s="15"/>
    </row>
    <row r="21" spans="3:11" ht="15.6" x14ac:dyDescent="0.3">
      <c r="C21" s="15"/>
      <c r="D21" s="15"/>
      <c r="E21" s="15"/>
      <c r="F21" s="15"/>
      <c r="G21" s="15"/>
      <c r="H21" s="15"/>
      <c r="I21" s="15"/>
    </row>
    <row r="22" spans="3:11" ht="15.6" x14ac:dyDescent="0.3">
      <c r="C22" s="15"/>
      <c r="D22" s="15"/>
      <c r="E22" s="15"/>
      <c r="F22" s="15"/>
      <c r="G22" s="15"/>
      <c r="H22" s="15"/>
      <c r="I22" s="15"/>
    </row>
    <row r="23" spans="3:11" ht="15.6" x14ac:dyDescent="0.3">
      <c r="C23" s="15"/>
      <c r="D23" s="15"/>
      <c r="E23" s="15"/>
      <c r="F23" s="15"/>
      <c r="G23" s="15"/>
      <c r="H23" s="15"/>
      <c r="I23" s="15"/>
    </row>
    <row r="24" spans="3:11" ht="15.6" x14ac:dyDescent="0.3">
      <c r="C24" s="15"/>
      <c r="D24" s="15"/>
      <c r="E24" s="15"/>
      <c r="F24" s="15"/>
      <c r="G24" s="15"/>
      <c r="H24" s="15"/>
      <c r="I24" s="15"/>
    </row>
    <row r="25" spans="3:11" ht="15.6" x14ac:dyDescent="0.3">
      <c r="C25" s="15"/>
      <c r="D25" s="15"/>
      <c r="E25" s="15"/>
      <c r="F25" s="15"/>
      <c r="G25" s="15"/>
      <c r="H25" s="15"/>
      <c r="I25" s="15"/>
    </row>
  </sheetData>
  <mergeCells count="3">
    <mergeCell ref="C2:G2"/>
    <mergeCell ref="C3:G3"/>
    <mergeCell ref="C5:I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L34"/>
  <sheetViews>
    <sheetView showGridLines="0" workbookViewId="0">
      <selection activeCell="E9" sqref="E9"/>
    </sheetView>
  </sheetViews>
  <sheetFormatPr defaultRowHeight="14.4" x14ac:dyDescent="0.3"/>
  <cols>
    <col min="1" max="1" width="5" customWidth="1"/>
    <col min="2" max="2" width="4.44140625" customWidth="1"/>
    <col min="3" max="3" width="8.44140625" bestFit="1" customWidth="1"/>
    <col min="4" max="4" width="11" customWidth="1"/>
    <col min="5" max="5" width="10.88671875" customWidth="1"/>
    <col min="6" max="6" width="8.44140625" customWidth="1"/>
    <col min="7" max="7" width="12.33203125" customWidth="1"/>
    <col min="8" max="8" width="7.33203125" bestFit="1" customWidth="1"/>
    <col min="9" max="9" width="10.33203125" customWidth="1"/>
    <col min="10" max="10" width="8.88671875" customWidth="1"/>
    <col min="11" max="11" width="10.6640625" customWidth="1"/>
    <col min="12" max="12" width="62.88671875" customWidth="1"/>
    <col min="13" max="13" width="2.5546875" customWidth="1"/>
    <col min="14" max="14" width="23" bestFit="1" customWidth="1"/>
  </cols>
  <sheetData>
    <row r="2" spans="3:12" x14ac:dyDescent="0.3">
      <c r="C2" s="232" t="s">
        <v>104</v>
      </c>
      <c r="D2" s="232"/>
      <c r="E2" s="232"/>
      <c r="F2" s="232"/>
      <c r="G2" s="232"/>
      <c r="H2" s="232"/>
    </row>
    <row r="3" spans="3:12" x14ac:dyDescent="0.3">
      <c r="C3" s="233" t="s">
        <v>122</v>
      </c>
      <c r="D3" s="233"/>
      <c r="E3" s="233"/>
      <c r="F3" s="233"/>
      <c r="G3" s="233"/>
      <c r="H3" s="233"/>
    </row>
    <row r="5" spans="3:12" ht="20.399999999999999" x14ac:dyDescent="0.45">
      <c r="C5" s="234" t="s">
        <v>131</v>
      </c>
      <c r="D5" s="235"/>
      <c r="E5" s="235"/>
      <c r="F5" s="235"/>
      <c r="G5" s="235"/>
      <c r="H5" s="235"/>
    </row>
    <row r="6" spans="3:12" ht="15.6" x14ac:dyDescent="0.3">
      <c r="C6" s="15"/>
      <c r="D6" s="25"/>
      <c r="E6" s="25"/>
      <c r="F6" s="25"/>
      <c r="G6" s="25"/>
      <c r="H6" s="25"/>
    </row>
    <row r="7" spans="3:12" ht="15.6" x14ac:dyDescent="0.3">
      <c r="C7" s="15" t="s">
        <v>126</v>
      </c>
      <c r="D7" s="25"/>
      <c r="E7" s="25"/>
      <c r="F7" s="25"/>
      <c r="G7" s="25"/>
      <c r="H7" s="25"/>
    </row>
    <row r="8" spans="3:12" ht="15.6" x14ac:dyDescent="0.3">
      <c r="C8" s="15"/>
      <c r="D8" s="25"/>
      <c r="E8" s="25"/>
      <c r="F8" s="25"/>
      <c r="G8" s="25"/>
      <c r="H8" s="25"/>
    </row>
    <row r="9" spans="3:12" ht="15.6" x14ac:dyDescent="0.3">
      <c r="C9" s="15"/>
      <c r="D9" s="25" t="s">
        <v>61</v>
      </c>
      <c r="E9" s="172">
        <v>4</v>
      </c>
      <c r="F9" s="41" t="s">
        <v>60</v>
      </c>
      <c r="G9" s="41"/>
      <c r="H9" s="40"/>
      <c r="I9" s="40"/>
      <c r="J9" s="40"/>
    </row>
    <row r="10" spans="3:12" ht="15.6" x14ac:dyDescent="0.3">
      <c r="C10" s="15"/>
      <c r="D10" s="25"/>
      <c r="E10" s="25"/>
      <c r="F10" s="25"/>
      <c r="G10" s="25"/>
      <c r="H10" s="25"/>
    </row>
    <row r="11" spans="3:12" ht="15.6" x14ac:dyDescent="0.3">
      <c r="C11" s="15"/>
      <c r="D11" s="25"/>
      <c r="E11" s="25"/>
      <c r="F11" s="25"/>
      <c r="G11" s="25"/>
      <c r="H11" s="25"/>
    </row>
    <row r="12" spans="3:12" ht="15" thickBot="1" x14ac:dyDescent="0.35"/>
    <row r="13" spans="3:12" ht="55.8" thickBot="1" x14ac:dyDescent="0.35">
      <c r="C13" s="238" t="s">
        <v>53</v>
      </c>
      <c r="D13" s="239"/>
      <c r="E13" s="114" t="s">
        <v>52</v>
      </c>
      <c r="F13" s="114" t="s">
        <v>51</v>
      </c>
      <c r="G13" s="115" t="s">
        <v>59</v>
      </c>
      <c r="H13" s="114" t="s">
        <v>49</v>
      </c>
      <c r="I13" s="114" t="s">
        <v>48</v>
      </c>
      <c r="J13" s="114" t="s">
        <v>163</v>
      </c>
      <c r="K13" s="116" t="s">
        <v>164</v>
      </c>
      <c r="L13" s="117" t="s">
        <v>103</v>
      </c>
    </row>
    <row r="14" spans="3:12" ht="27" x14ac:dyDescent="0.3">
      <c r="C14" s="236" t="s">
        <v>58</v>
      </c>
      <c r="D14" s="107" t="s">
        <v>57</v>
      </c>
      <c r="E14" s="131">
        <f>'Power Estimation'!$G$15*1000000</f>
        <v>400000000</v>
      </c>
      <c r="F14" s="108">
        <v>16</v>
      </c>
      <c r="G14" s="109">
        <v>4.9999999999999997E-12</v>
      </c>
      <c r="H14" s="108">
        <v>0.25</v>
      </c>
      <c r="I14" s="110">
        <v>1</v>
      </c>
      <c r="J14" s="111">
        <f>'Power Estimation'!$G$68</f>
        <v>1.8</v>
      </c>
      <c r="K14" s="112">
        <f>(J14^2) * G14 * (E14/2) * (F14*H14) * I14 * 1000</f>
        <v>12.959999999999999</v>
      </c>
      <c r="L14" s="113" t="s">
        <v>127</v>
      </c>
    </row>
    <row r="15" spans="3:12" ht="40.200000000000003" x14ac:dyDescent="0.3">
      <c r="C15" s="236"/>
      <c r="D15" s="94" t="s">
        <v>56</v>
      </c>
      <c r="E15" s="132">
        <f>'Power Estimation'!$G$15*1000000*2</f>
        <v>800000000</v>
      </c>
      <c r="F15" s="96">
        <v>16</v>
      </c>
      <c r="G15" s="97">
        <v>4.9999999999999997E-12</v>
      </c>
      <c r="H15" s="96">
        <v>1</v>
      </c>
      <c r="I15" s="98">
        <v>1</v>
      </c>
      <c r="J15" s="80">
        <f>'Power Estimation'!$G$68</f>
        <v>1.8</v>
      </c>
      <c r="K15" s="99">
        <f>(J15^2) * G15 * (E15/2) * (F15*H15) * I15 * 1000</f>
        <v>103.67999999999999</v>
      </c>
      <c r="L15" s="39" t="s">
        <v>128</v>
      </c>
    </row>
    <row r="16" spans="3:12" ht="40.200000000000003" x14ac:dyDescent="0.3">
      <c r="C16" s="236"/>
      <c r="D16" s="100" t="s">
        <v>55</v>
      </c>
      <c r="E16" s="132">
        <f>'Power Estimation'!$G$15*1000000/E9</f>
        <v>100000000</v>
      </c>
      <c r="F16" s="101">
        <v>15</v>
      </c>
      <c r="G16" s="97">
        <v>4.9999999999999997E-12</v>
      </c>
      <c r="H16" s="96">
        <v>1</v>
      </c>
      <c r="I16" s="98">
        <v>1</v>
      </c>
      <c r="J16" s="80">
        <f>'Power Estimation'!$G$68</f>
        <v>1.8</v>
      </c>
      <c r="K16" s="99">
        <f>(J16^2) * G16 * (E16/2) * (F16*H16) * I16 * 1000</f>
        <v>12.149999999999999</v>
      </c>
      <c r="L16" s="39" t="s">
        <v>129</v>
      </c>
    </row>
    <row r="17" spans="3:12" ht="27.6" thickBot="1" x14ac:dyDescent="0.35">
      <c r="C17" s="237"/>
      <c r="D17" s="102" t="s">
        <v>54</v>
      </c>
      <c r="E17" s="133">
        <f>'Power Estimation'!$G$15*1000000</f>
        <v>400000000</v>
      </c>
      <c r="F17" s="103">
        <v>2</v>
      </c>
      <c r="G17" s="106">
        <v>4.9999999999999997E-12</v>
      </c>
      <c r="H17" s="104">
        <v>1</v>
      </c>
      <c r="I17" s="105">
        <v>1</v>
      </c>
      <c r="J17" s="86">
        <f>'Power Estimation'!$G$68</f>
        <v>1.8</v>
      </c>
      <c r="K17" s="86">
        <f>(J17^2) * G17 * (E17/2) * (F17*H17) * I17 * 1000</f>
        <v>6.4799999999999995</v>
      </c>
      <c r="L17" s="24" t="s">
        <v>130</v>
      </c>
    </row>
    <row r="18" spans="3:12" ht="15" thickBot="1" x14ac:dyDescent="0.35">
      <c r="D18" s="38"/>
      <c r="E18" s="23"/>
      <c r="F18" s="22"/>
      <c r="G18" s="23"/>
      <c r="H18" s="22"/>
      <c r="I18" s="21"/>
      <c r="J18" s="21"/>
      <c r="K18" s="21"/>
      <c r="L18" s="20"/>
    </row>
    <row r="19" spans="3:12" ht="15.6" thickTop="1" thickBot="1" x14ac:dyDescent="0.35">
      <c r="D19" s="37"/>
      <c r="G19" s="16" t="s">
        <v>162</v>
      </c>
      <c r="J19" s="19"/>
      <c r="K19" s="65">
        <f>SUM(K14:K17)</f>
        <v>135.26999999999998</v>
      </c>
      <c r="L19" s="18"/>
    </row>
    <row r="20" spans="3:12" ht="15" thickTop="1" x14ac:dyDescent="0.3"/>
    <row r="30" spans="3:12" x14ac:dyDescent="0.3">
      <c r="E30" s="44"/>
      <c r="F30" s="48"/>
    </row>
    <row r="31" spans="3:12" x14ac:dyDescent="0.3">
      <c r="E31" s="44"/>
      <c r="F31" s="22"/>
    </row>
    <row r="32" spans="3:12" x14ac:dyDescent="0.3">
      <c r="E32" s="44"/>
      <c r="F32" s="22"/>
    </row>
    <row r="33" spans="5:6" x14ac:dyDescent="0.3">
      <c r="E33" s="44"/>
      <c r="F33" s="22"/>
    </row>
    <row r="34" spans="5:6" x14ac:dyDescent="0.3">
      <c r="E34" s="44"/>
      <c r="F34" s="44"/>
    </row>
  </sheetData>
  <mergeCells count="5">
    <mergeCell ref="C14:C17"/>
    <mergeCell ref="C2:H2"/>
    <mergeCell ref="C3:H3"/>
    <mergeCell ref="C5:H5"/>
    <mergeCell ref="C13:D13"/>
  </mergeCells>
  <dataValidations count="1">
    <dataValidation operator="greaterThanOrEqual" allowBlank="1" showInputMessage="1" showErrorMessage="1" sqref="E11"/>
  </dataValidations>
  <pageMargins left="0.7" right="0.7" top="0.75" bottom="0.75" header="0.3" footer="0.3"/>
  <pageSetup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I6"/>
  <sheetViews>
    <sheetView showGridLines="0" workbookViewId="0"/>
  </sheetViews>
  <sheetFormatPr defaultColWidth="9.109375" defaultRowHeight="14.4" x14ac:dyDescent="0.3"/>
  <cols>
    <col min="1" max="2" width="9.109375" style="11"/>
    <col min="3" max="3" width="22.5546875" style="11" customWidth="1"/>
    <col min="4" max="4" width="20.109375" style="11" customWidth="1"/>
    <col min="5" max="5" width="18.5546875" style="11" customWidth="1"/>
    <col min="6" max="6" width="20" style="11" customWidth="1"/>
    <col min="7" max="7" width="18.109375" style="11" customWidth="1"/>
    <col min="8" max="8" width="19.6640625" style="11" customWidth="1"/>
    <col min="9" max="9" width="34" style="11" customWidth="1"/>
    <col min="10" max="16384" width="9.109375" style="11"/>
  </cols>
  <sheetData>
    <row r="2" spans="3:9" ht="15" thickBot="1" x14ac:dyDescent="0.35"/>
    <row r="3" spans="3:9" ht="42" customHeight="1" thickBot="1" x14ac:dyDescent="0.35">
      <c r="C3" s="91" t="s">
        <v>106</v>
      </c>
      <c r="D3" s="91" t="s">
        <v>105</v>
      </c>
      <c r="E3" s="91" t="s">
        <v>107</v>
      </c>
      <c r="F3" s="240" t="s">
        <v>103</v>
      </c>
      <c r="G3" s="241"/>
      <c r="H3" s="241"/>
      <c r="I3" s="241"/>
    </row>
    <row r="4" spans="3:9" ht="146.25" customHeight="1" thickBot="1" x14ac:dyDescent="0.35">
      <c r="C4" s="91" t="s">
        <v>68</v>
      </c>
      <c r="D4" s="92">
        <v>3100</v>
      </c>
      <c r="E4" s="92">
        <v>130</v>
      </c>
      <c r="F4" s="242" t="s">
        <v>72</v>
      </c>
      <c r="G4" s="242"/>
      <c r="H4" s="242"/>
      <c r="I4" s="242"/>
    </row>
    <row r="5" spans="3:9" ht="125.25" customHeight="1" thickBot="1" x14ac:dyDescent="0.35">
      <c r="C5" s="91" t="s">
        <v>69</v>
      </c>
      <c r="D5" s="92">
        <v>1600</v>
      </c>
      <c r="E5" s="92">
        <v>82</v>
      </c>
      <c r="F5" s="243" t="s">
        <v>74</v>
      </c>
      <c r="G5" s="243"/>
      <c r="H5" s="243"/>
      <c r="I5" s="243"/>
    </row>
    <row r="6" spans="3:9" ht="94.5" customHeight="1" thickBot="1" x14ac:dyDescent="0.35">
      <c r="C6" s="91" t="s">
        <v>70</v>
      </c>
      <c r="D6" s="92">
        <v>600</v>
      </c>
      <c r="E6" s="92">
        <v>49</v>
      </c>
      <c r="F6" s="242" t="s">
        <v>73</v>
      </c>
      <c r="G6" s="242"/>
      <c r="H6" s="242"/>
      <c r="I6" s="242"/>
    </row>
  </sheetData>
  <sheetProtection algorithmName="SHA-512" hashValue="ZRLs8ODmsZ/UBL7ht334ducDt5ysCI6+yBKUvaIYJF2eiQnG8/9rYr+E1yrgTTODujs2ailNP4qMqeb2Z/FlJQ==" saltValue="m/gEnMorIr89Fi1lm6k44w==" spinCount="100000" sheet="1" objects="1" scenarios="1"/>
  <mergeCells count="4">
    <mergeCell ref="F3:I3"/>
    <mergeCell ref="F4:I4"/>
    <mergeCell ref="F5:I5"/>
    <mergeCell ref="F6:I6"/>
  </mergeCells>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G5"/>
  <sheetViews>
    <sheetView workbookViewId="0">
      <selection activeCell="B2" sqref="B2"/>
    </sheetView>
  </sheetViews>
  <sheetFormatPr defaultColWidth="9.109375" defaultRowHeight="14.4" x14ac:dyDescent="0.3"/>
  <cols>
    <col min="1" max="3" width="9.109375" style="11"/>
    <col min="4" max="4" width="14.5546875" style="11" customWidth="1"/>
    <col min="5" max="16384" width="9.109375" style="11"/>
  </cols>
  <sheetData>
    <row r="2" spans="3:7" x14ac:dyDescent="0.3">
      <c r="C2" s="157" t="s">
        <v>34</v>
      </c>
      <c r="D2" s="157" t="s">
        <v>157</v>
      </c>
      <c r="F2" s="158"/>
      <c r="G2" s="159"/>
    </row>
    <row r="3" spans="3:7" x14ac:dyDescent="0.3">
      <c r="C3" s="160" t="s">
        <v>33</v>
      </c>
      <c r="D3" s="160">
        <v>0</v>
      </c>
      <c r="F3" s="159"/>
      <c r="G3" s="159"/>
    </row>
    <row r="4" spans="3:7" x14ac:dyDescent="0.3">
      <c r="C4" s="160" t="s">
        <v>35</v>
      </c>
      <c r="D4" s="160">
        <v>0.32</v>
      </c>
      <c r="F4" s="159"/>
      <c r="G4" s="159"/>
    </row>
    <row r="5" spans="3:7" x14ac:dyDescent="0.3">
      <c r="F5" s="159"/>
      <c r="G5" s="159"/>
    </row>
  </sheetData>
  <sheetProtection algorithmName="SHA-512" hashValue="T1bloA5Bbx/pKPxd/lVM8QG7nLz/ct25lgXucnBJ40JeFbB0YOOPBJm8zPCOod6LuNPMNEO3ci3U704/C5ZHnA==" saltValue="AIoCf1C55QtKUVN4lGl+Vg==" spinCount="100000" sheet="1" objects="1" scenarios="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L8"/>
  <sheetViews>
    <sheetView showGridLines="0" topLeftCell="C1" workbookViewId="0">
      <selection activeCell="C1" sqref="C1"/>
    </sheetView>
  </sheetViews>
  <sheetFormatPr defaultColWidth="9.109375" defaultRowHeight="14.4" x14ac:dyDescent="0.3"/>
  <cols>
    <col min="1" max="2" width="9.109375" style="11"/>
    <col min="3" max="3" width="9.88671875" style="11" bestFit="1" customWidth="1"/>
    <col min="4" max="6" width="9.109375" style="11"/>
    <col min="7" max="7" width="20.6640625" style="11" customWidth="1"/>
    <col min="8" max="8" width="12.6640625" style="11" customWidth="1"/>
    <col min="9" max="9" width="17.109375" style="11" customWidth="1"/>
    <col min="10" max="10" width="22.6640625" style="11" customWidth="1"/>
    <col min="11" max="12" width="22.88671875" style="11" customWidth="1"/>
    <col min="13" max="16384" width="9.109375" style="11"/>
  </cols>
  <sheetData>
    <row r="2" spans="3:12" ht="15" thickBot="1" x14ac:dyDescent="0.35"/>
    <row r="3" spans="3:12" ht="15" thickBot="1" x14ac:dyDescent="0.35">
      <c r="C3" s="47"/>
      <c r="D3" s="47"/>
      <c r="I3" s="161" t="s">
        <v>78</v>
      </c>
      <c r="J3" s="162"/>
      <c r="K3" s="163" t="s">
        <v>79</v>
      </c>
      <c r="L3" s="164"/>
    </row>
    <row r="4" spans="3:12" ht="31.8" thickBot="1" x14ac:dyDescent="0.4">
      <c r="C4" s="47"/>
      <c r="D4" s="47"/>
      <c r="G4" s="162" t="s">
        <v>80</v>
      </c>
      <c r="H4" s="90" t="s">
        <v>81</v>
      </c>
      <c r="I4" s="165" t="s">
        <v>155</v>
      </c>
      <c r="J4" s="166" t="s">
        <v>133</v>
      </c>
      <c r="K4" s="167" t="s">
        <v>134</v>
      </c>
      <c r="L4" s="167" t="s">
        <v>101</v>
      </c>
    </row>
    <row r="5" spans="3:12" ht="15" thickBot="1" x14ac:dyDescent="0.35">
      <c r="G5" s="161" t="s">
        <v>86</v>
      </c>
      <c r="H5" s="168" t="s">
        <v>82</v>
      </c>
      <c r="I5" s="161">
        <v>240</v>
      </c>
      <c r="J5" s="162">
        <v>31.6</v>
      </c>
      <c r="K5" s="90">
        <v>16.3</v>
      </c>
      <c r="L5" s="164">
        <v>17.399999999999999</v>
      </c>
    </row>
    <row r="6" spans="3:12" ht="15" thickBot="1" x14ac:dyDescent="0.35">
      <c r="G6" s="169" t="s">
        <v>87</v>
      </c>
      <c r="H6" s="170" t="s">
        <v>83</v>
      </c>
      <c r="I6" s="161">
        <v>197</v>
      </c>
      <c r="J6" s="170">
        <v>20.2</v>
      </c>
      <c r="K6" s="169">
        <v>15</v>
      </c>
      <c r="L6" s="171">
        <v>15.2</v>
      </c>
    </row>
    <row r="7" spans="3:12" ht="15" thickBot="1" x14ac:dyDescent="0.35">
      <c r="G7" s="90" t="s">
        <v>84</v>
      </c>
      <c r="H7" s="163"/>
      <c r="I7" s="90">
        <v>1</v>
      </c>
      <c r="J7" s="163">
        <v>1.4</v>
      </c>
      <c r="K7" s="90">
        <v>0.05</v>
      </c>
      <c r="L7" s="164">
        <v>0.73</v>
      </c>
    </row>
    <row r="8" spans="3:12" ht="15" thickBot="1" x14ac:dyDescent="0.35">
      <c r="G8" s="90" t="s">
        <v>85</v>
      </c>
      <c r="H8" s="163"/>
      <c r="I8" s="90">
        <v>0</v>
      </c>
      <c r="J8" s="163">
        <v>0</v>
      </c>
      <c r="K8" s="90">
        <v>0</v>
      </c>
      <c r="L8" s="164">
        <v>0</v>
      </c>
    </row>
  </sheetData>
  <sheetProtection algorithmName="SHA-512" hashValue="eOluIZuoOOer7ChtlJUzE5xArsUIEgxs6eNho5NhjACrHn0xoaU/WRSnIXk8DS9XktkhLs68BAIhNF+97/ZRpQ==" saltValue="oGlNNGNPTJI2iqUUOgIcvA==" spinCount="100000" sheet="1" objects="1" scenarios="1"/>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32</vt:i4>
      </vt:variant>
    </vt:vector>
  </HeadingPairs>
  <TitlesOfParts>
    <vt:vector size="44" baseType="lpstr">
      <vt:lpstr>Power Estimation</vt:lpstr>
      <vt:lpstr>VDD_INT Maximum Static Current</vt:lpstr>
      <vt:lpstr>VDD_INT Typical Static Current</vt:lpstr>
      <vt:lpstr>Core Activity Factors</vt:lpstr>
      <vt:lpstr>VDD_EXT Power Domain</vt:lpstr>
      <vt:lpstr>VDD_DMC Power Domain</vt:lpstr>
      <vt:lpstr>DMA_Usage</vt:lpstr>
      <vt:lpstr>Accelerators</vt:lpstr>
      <vt:lpstr>PCIe</vt:lpstr>
      <vt:lpstr>MLB</vt:lpstr>
      <vt:lpstr>GigE</vt:lpstr>
      <vt:lpstr>USB</vt:lpstr>
      <vt:lpstr>A5_ASF</vt:lpstr>
      <vt:lpstr>Ac</vt:lpstr>
      <vt:lpstr>ActFactSH</vt:lpstr>
      <vt:lpstr>Activity</vt:lpstr>
      <vt:lpstr>ActivityF</vt:lpstr>
      <vt:lpstr>ActivityFactor</vt:lpstr>
      <vt:lpstr>ActivityFactorARM</vt:lpstr>
      <vt:lpstr>ActivityFactorARM0</vt:lpstr>
      <vt:lpstr>ActivityFactorARM1</vt:lpstr>
      <vt:lpstr>ActivityFactorSH</vt:lpstr>
      <vt:lpstr>ActivityFactorSHARC</vt:lpstr>
      <vt:lpstr>ActivityFactorSHARC1</vt:lpstr>
      <vt:lpstr>AMRAc</vt:lpstr>
      <vt:lpstr>Average_ASF</vt:lpstr>
      <vt:lpstr>ConfigSettings</vt:lpstr>
      <vt:lpstr>DMA_PROFILE</vt:lpstr>
      <vt:lpstr>DMAPROFILE</vt:lpstr>
      <vt:lpstr>FFT</vt:lpstr>
      <vt:lpstr>FFT_Activity</vt:lpstr>
      <vt:lpstr>FFT_CLK</vt:lpstr>
      <vt:lpstr>GIGE_OPTIONS</vt:lpstr>
      <vt:lpstr>GIGE_OPTIOSN</vt:lpstr>
      <vt:lpstr>MLB_OPTIONS</vt:lpstr>
      <vt:lpstr>PCIE_CurrentTable</vt:lpstr>
      <vt:lpstr>PCIE_OPTIONS</vt:lpstr>
      <vt:lpstr>SHARC_ASF</vt:lpstr>
      <vt:lpstr>SIDD_Levels</vt:lpstr>
      <vt:lpstr>Temperature</vt:lpstr>
      <vt:lpstr>USB_OPTIONS</vt:lpstr>
      <vt:lpstr>USB_VDDINT</vt:lpstr>
      <vt:lpstr>USB_VDDUSB</vt:lpstr>
      <vt:lpstr>VDD_INT</vt:lpstr>
    </vt:vector>
  </TitlesOfParts>
  <Company>Analog Devices, Inc.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Ramaswamy, Ranganathan</dc:creator>
  <cp:lastModifiedBy>Joe Beauchemin</cp:lastModifiedBy>
  <dcterms:created xsi:type="dcterms:W3CDTF">2015-03-16T11:38:51Z</dcterms:created>
  <dcterms:modified xsi:type="dcterms:W3CDTF">2016-10-24T16:22:49Z</dcterms:modified>
</cp:coreProperties>
</file>