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600" activeTab="0"/>
  </bookViews>
  <sheets>
    <sheet name="calculator" sheetId="1" r:id="rId1"/>
    <sheet name="Data" sheetId="2" state="hidden" r:id="rId2"/>
    <sheet name="Revision history" sheetId="3" r:id="rId3"/>
  </sheets>
  <externalReferences>
    <externalReference r:id="rId6"/>
  </externalReferences>
  <definedNames>
    <definedName name="AverRead">'[1]Sheet2'!$B$8:$B$18</definedName>
    <definedName name="avg">'Data'!$A$84:$A$94</definedName>
    <definedName name="Dist">'[1]Sheet2'!$B$20:'[1]Sheet2'!$B$22</definedName>
    <definedName name="DistVal">'[1]Sheet2'!$B$20:'[1]Sheet2'!$C$22</definedName>
    <definedName name="div">'Data'!$A$134:$A$136</definedName>
    <definedName name="divisor">'Data'!$B$134:$B$135</definedName>
    <definedName name="e">'Data'!$B$134:$B$135</definedName>
    <definedName name="HzUnit">'[1]Sheet2'!$B$2:$B$4</definedName>
    <definedName name="meas_mode">'Data'!$G$147:$G$148</definedName>
    <definedName name="mode">'Data'!$A$83,'Data'!$F$83</definedName>
    <definedName name="model">'Data'!$B$5:$N$5</definedName>
    <definedName name="RH">'[1]Sheet2'!$B$24:$B$25</definedName>
    <definedName name="SensModel">'[1]Sheet2'!$C$52:$AA$52</definedName>
    <definedName name="type">'Data'!$A$80:$C$80</definedName>
    <definedName name="U2000A">'Data'!$B$5:$J$5</definedName>
    <definedName name="U2002H">'Data'!$B$5:$L$5</definedName>
    <definedName name="zero">'Data'!$B$39:$B$40</definedName>
  </definedNames>
  <calcPr fullCalcOnLoad="1"/>
</workbook>
</file>

<file path=xl/comments2.xml><?xml version="1.0" encoding="utf-8"?>
<comments xmlns="http://schemas.openxmlformats.org/spreadsheetml/2006/main">
  <authors>
    <author>sookhua</author>
    <author>Administrator</author>
  </authors>
  <commentList>
    <comment ref="K103" authorId="0">
      <text>
        <r>
          <rPr>
            <b/>
            <sz val="9"/>
            <rFont val="Tahoma"/>
            <family val="2"/>
          </rPr>
          <t>sookhua:</t>
        </r>
        <r>
          <rPr>
            <sz val="9"/>
            <rFont val="Tahoma"/>
            <family val="2"/>
          </rPr>
          <t xml:space="preserve">
25+/-3degC
</t>
        </r>
      </text>
    </comment>
    <comment ref="L103" authorId="0">
      <text>
        <r>
          <rPr>
            <b/>
            <sz val="9"/>
            <rFont val="Tahoma"/>
            <family val="2"/>
          </rPr>
          <t>sookhua:</t>
        </r>
        <r>
          <rPr>
            <sz val="9"/>
            <rFont val="Tahoma"/>
            <family val="2"/>
          </rPr>
          <t xml:space="preserve">
25+/-3degC</t>
        </r>
      </text>
    </comment>
    <comment ref="M103" authorId="1">
      <text>
        <r>
          <rPr>
            <b/>
            <sz val="9"/>
            <rFont val="Tahoma"/>
            <family val="2"/>
          </rPr>
          <t xml:space="preserve">sookhua:
25+/-3C
</t>
        </r>
      </text>
    </comment>
    <comment ref="N103" authorId="1">
      <text>
        <r>
          <rPr>
            <b/>
            <sz val="9"/>
            <rFont val="Tahoma"/>
            <family val="2"/>
          </rPr>
          <t>sookhua:
25+/-3C</t>
        </r>
      </text>
    </comment>
  </commentList>
</comments>
</file>

<file path=xl/sharedStrings.xml><?xml version="1.0" encoding="utf-8"?>
<sst xmlns="http://schemas.openxmlformats.org/spreadsheetml/2006/main" count="676" uniqueCount="142">
  <si>
    <t>Frequency</t>
  </si>
  <si>
    <t>Input</t>
  </si>
  <si>
    <t>Value</t>
  </si>
  <si>
    <t xml:space="preserve">Device Under Test (SWR) </t>
  </si>
  <si>
    <t>Sensor Model</t>
  </si>
  <si>
    <t>GHz</t>
  </si>
  <si>
    <t>Power</t>
  </si>
  <si>
    <t>dBm</t>
  </si>
  <si>
    <t>Number of Average Reading</t>
  </si>
  <si>
    <t>Source of Uncertainty</t>
  </si>
  <si>
    <t>Symbol</t>
  </si>
  <si>
    <t>Probability Distribution</t>
  </si>
  <si>
    <t>Divisor</t>
  </si>
  <si>
    <t>Result</t>
  </si>
  <si>
    <t>Mismatch Gain Between Generator and Sensor</t>
  </si>
  <si>
    <r>
      <t>M</t>
    </r>
    <r>
      <rPr>
        <vertAlign val="subscript"/>
        <sz val="10"/>
        <rFont val="Arial"/>
        <family val="2"/>
      </rPr>
      <t>u</t>
    </r>
  </si>
  <si>
    <t>Rectangular</t>
  </si>
  <si>
    <t>D</t>
  </si>
  <si>
    <r>
      <t>K</t>
    </r>
    <r>
      <rPr>
        <vertAlign val="subscript"/>
        <sz val="10"/>
        <rFont val="Arial"/>
        <family val="2"/>
      </rPr>
      <t>b</t>
    </r>
  </si>
  <si>
    <t>Gaussian</t>
  </si>
  <si>
    <t>Power Sensor Linearity</t>
  </si>
  <si>
    <r>
      <t>P</t>
    </r>
    <r>
      <rPr>
        <vertAlign val="subscript"/>
        <sz val="10"/>
        <rFont val="Arial"/>
        <family val="2"/>
      </rPr>
      <t>l</t>
    </r>
  </si>
  <si>
    <r>
      <t>Z</t>
    </r>
    <r>
      <rPr>
        <vertAlign val="subscript"/>
        <sz val="10"/>
        <rFont val="Arial"/>
        <family val="2"/>
      </rPr>
      <t>s</t>
    </r>
  </si>
  <si>
    <t>N</t>
  </si>
  <si>
    <t>Combined Uncertainty-RSSed</t>
  </si>
  <si>
    <t>=</t>
  </si>
  <si>
    <t>K</t>
  </si>
  <si>
    <t>Expanded Uncertainty</t>
  </si>
  <si>
    <t>Upper Limit Uncertainty</t>
  </si>
  <si>
    <t>Lower Limit Uncertainty</t>
  </si>
  <si>
    <t>U2000A</t>
  </si>
  <si>
    <t>U2001A</t>
  </si>
  <si>
    <t>U2002A</t>
  </si>
  <si>
    <t>U2004A</t>
  </si>
  <si>
    <t>Max SWR (25 +/-10C)</t>
  </si>
  <si>
    <t>Power Linearity (25+/-10C)</t>
  </si>
  <si>
    <t>Zero Set</t>
  </si>
  <si>
    <t>Zero Drift</t>
  </si>
  <si>
    <t>Noise multiplier</t>
  </si>
  <si>
    <t>Number of avg</t>
  </si>
  <si>
    <t>rho DUT</t>
  </si>
  <si>
    <t>Zero drift</t>
  </si>
  <si>
    <t>W</t>
  </si>
  <si>
    <t>Zero set</t>
  </si>
  <si>
    <t>Sensor noise</t>
  </si>
  <si>
    <t>rho sensor</t>
  </si>
  <si>
    <t>Multiplier</t>
  </si>
  <si>
    <t>U-shape</t>
  </si>
  <si>
    <t>#</t>
  </si>
  <si>
    <t>Normal</t>
  </si>
  <si>
    <t>x2</t>
  </si>
  <si>
    <t>Average mode</t>
  </si>
  <si>
    <t>Power Sensor Calibration Factor Uncertainties</t>
  </si>
  <si>
    <t>Revision 2</t>
  </si>
  <si>
    <t>U2000B</t>
  </si>
  <si>
    <t>9kHz</t>
  </si>
  <si>
    <t>10MHz</t>
  </si>
  <si>
    <t>30MHz</t>
  </si>
  <si>
    <t>50MHz</t>
  </si>
  <si>
    <t>2GHz</t>
  </si>
  <si>
    <t>6GHz</t>
  </si>
  <si>
    <t>14GHz</t>
  </si>
  <si>
    <t>16GHz</t>
  </si>
  <si>
    <t>18GHz</t>
  </si>
  <si>
    <t>19GHz</t>
  </si>
  <si>
    <t>24GHz</t>
  </si>
  <si>
    <t>12.4GHz</t>
  </si>
  <si>
    <t>U2000H</t>
  </si>
  <si>
    <t>8GHz</t>
  </si>
  <si>
    <t>U2001B</t>
  </si>
  <si>
    <t>U2001H</t>
  </si>
  <si>
    <t>U2002H</t>
  </si>
  <si>
    <t>Cal factor uncertainties</t>
  </si>
  <si>
    <t>10Mhz</t>
  </si>
  <si>
    <t>1.2GHz</t>
  </si>
  <si>
    <t>14GHZ</t>
  </si>
  <si>
    <t>500MHz</t>
  </si>
  <si>
    <t>Zero Set (External)</t>
  </si>
  <si>
    <t>Zero Set (Internal)</t>
  </si>
  <si>
    <t>Internal zero</t>
  </si>
  <si>
    <t>External zero</t>
  </si>
  <si>
    <t>Value ±</t>
  </si>
  <si>
    <t>(Note: For these parameters, there are overlapping power range. In this case, worst case spec is chosen for MU calculation).</t>
  </si>
  <si>
    <t>This calculation is base on ISO Guide to the Expression of Uncertainty in Measurement, often referred to as the GUM.</t>
  </si>
  <si>
    <t>Prelim Spec</t>
  </si>
  <si>
    <t>Noise Persample</t>
  </si>
  <si>
    <t>Measurement mode</t>
  </si>
  <si>
    <t>Average only mode</t>
  </si>
  <si>
    <t>Time-gated mode (normal mode)</t>
  </si>
  <si>
    <t>us</t>
  </si>
  <si>
    <t>Measurement noise</t>
  </si>
  <si>
    <t>Time-gated mode &lt;2.73us</t>
  </si>
  <si>
    <t>Time-gated mode &gt;2.73us</t>
  </si>
  <si>
    <t>Time gated mode</t>
  </si>
  <si>
    <t>Time-gated mode (Normal Mode) Related Specifications</t>
  </si>
  <si>
    <t xml:space="preserve">Revision 1 </t>
  </si>
  <si>
    <t>New Creation</t>
  </si>
  <si>
    <t>Added U2000/1/2H and U2000/1B</t>
  </si>
  <si>
    <t xml:space="preserve">Revision 3 </t>
  </si>
  <si>
    <t>Measurement noise (normal mode)</t>
  </si>
  <si>
    <t>For more info on power meter and power sensor measurement uncertainty equation and calculation base on GUM, please refer to Agilent Application Note 1449-3 "Fundamental of RF and Microwave Power Measurements (Part 3), literature number 5988-9215EN.</t>
  </si>
  <si>
    <t>Revision 5</t>
  </si>
  <si>
    <t>Corrected error in mismatch uncertainty calculation</t>
  </si>
  <si>
    <t>Revision 4</t>
  </si>
  <si>
    <t>Added Time-gated (normal mode) measurement uncertainty analysis</t>
  </si>
  <si>
    <t>Minor update on spec change.</t>
  </si>
  <si>
    <t>Revision 6</t>
  </si>
  <si>
    <t>Corrected error in mismatch uncertainty calculation. Updated power range for zero set/drift and measurement noise.</t>
  </si>
  <si>
    <t>Revision 7</t>
  </si>
  <si>
    <t>Added U8481A and U8485A</t>
  </si>
  <si>
    <t>U8481A</t>
  </si>
  <si>
    <t>U8485A</t>
  </si>
  <si>
    <t>DC</t>
  </si>
  <si>
    <t>100MHz</t>
  </si>
  <si>
    <t>26.5GHz</t>
  </si>
  <si>
    <t>33GHz</t>
  </si>
  <si>
    <t>Power Level</t>
  </si>
  <si>
    <t>U8481/5A</t>
  </si>
  <si>
    <t>U2000</t>
  </si>
  <si>
    <t>U8481/85A</t>
  </si>
  <si>
    <t>Fast</t>
  </si>
  <si>
    <t>U2000 multiplier</t>
  </si>
  <si>
    <t>The data used in this calculation is base on the specifications as in the U2000 series USB power sensors datasheet, literature number 5989-6278EN, and N8480 series datasheet, literature number 5991-1410EN).</t>
  </si>
  <si>
    <r>
      <t>Internal or External Zeroing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(not applicable for U8480)</t>
    </r>
  </si>
  <si>
    <r>
      <t xml:space="preserve">Gate length </t>
    </r>
    <r>
      <rPr>
        <b/>
        <i/>
        <sz val="8"/>
        <rFont val="Arial"/>
        <family val="2"/>
      </rPr>
      <t>(not required for Average only mode)</t>
    </r>
  </si>
  <si>
    <t>Revision 8</t>
  </si>
  <si>
    <t>U2000 / U8480 Series USB Power Sensors Uncertainty Calculator</t>
  </si>
  <si>
    <t>U8487A</t>
  </si>
  <si>
    <t>U8488A</t>
  </si>
  <si>
    <t>40GHz</t>
  </si>
  <si>
    <t>50GHz</t>
  </si>
  <si>
    <t>67GHz</t>
  </si>
  <si>
    <t>70GHz</t>
  </si>
  <si>
    <t>2.4GHz</t>
  </si>
  <si>
    <t>U8480 series</t>
  </si>
  <si>
    <t>U8480 Multiplier</t>
  </si>
  <si>
    <t>45GHz</t>
  </si>
  <si>
    <t>Date updated: 10 Feb 2014</t>
  </si>
  <si>
    <t>© Agilent Technologies, Inc. 2008, 2011, 2012, 2013, 2014</t>
  </si>
  <si>
    <t>Added U8487A and U8488A</t>
  </si>
  <si>
    <t>Sensor Internal Calibration Uncertainties</t>
  </si>
  <si>
    <r>
      <t>P</t>
    </r>
    <r>
      <rPr>
        <vertAlign val="subscript"/>
        <sz val="10"/>
        <rFont val="Arial"/>
        <family val="2"/>
      </rPr>
      <t>cal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</si>
</sst>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00"/>
    <numFmt numFmtId="167" formatCode="0.0000%"/>
    <numFmt numFmtId="168" formatCode="0.0000E+00"/>
    <numFmt numFmtId="169" formatCode="0.000%"/>
    <numFmt numFmtId="170" formatCode="[$-409]h:mm:ss\ AM/PM"/>
    <numFmt numFmtId="171" formatCode="[$-409]dddd\,\ mmmm\ dd\,\ yyyy"/>
    <numFmt numFmtId="172" formatCode="0.00000"/>
    <numFmt numFmtId="173" formatCode="0.0000000"/>
  </numFmts>
  <fonts count="5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 applyProtection="1">
      <alignment horizontal="left"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 locked="0"/>
    </xf>
    <xf numFmtId="165" fontId="54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0" fontId="7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center"/>
      <protection hidden="1"/>
    </xf>
    <xf numFmtId="166" fontId="54" fillId="0" borderId="0" xfId="0" applyNumberFormat="1" applyFont="1" applyFill="1" applyBorder="1" applyAlignment="1" applyProtection="1">
      <alignment horizontal="left"/>
      <protection hidden="1"/>
    </xf>
    <xf numFmtId="165" fontId="5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165" fontId="1" fillId="0" borderId="10" xfId="0" applyNumberFormat="1" applyFont="1" applyBorder="1" applyAlignment="1" applyProtection="1">
      <alignment horizontal="center"/>
      <protection hidden="1"/>
    </xf>
    <xf numFmtId="164" fontId="1" fillId="0" borderId="1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 locked="0"/>
    </xf>
    <xf numFmtId="165" fontId="7" fillId="0" borderId="0" xfId="0" applyNumberFormat="1" applyFont="1" applyBorder="1" applyAlignment="1" applyProtection="1">
      <alignment horizontal="center"/>
      <protection hidden="1" locked="0"/>
    </xf>
    <xf numFmtId="168" fontId="7" fillId="0" borderId="0" xfId="0" applyNumberFormat="1" applyFont="1" applyBorder="1" applyAlignment="1" applyProtection="1">
      <alignment horizontal="center"/>
      <protection hidden="1" locked="0"/>
    </xf>
    <xf numFmtId="167" fontId="7" fillId="0" borderId="0" xfId="0" applyNumberFormat="1" applyFont="1" applyBorder="1" applyAlignment="1" applyProtection="1">
      <alignment horizontal="center"/>
      <protection hidden="1" locked="0"/>
    </xf>
    <xf numFmtId="10" fontId="7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165" fontId="0" fillId="0" borderId="0" xfId="0" applyNumberFormat="1" applyBorder="1" applyAlignment="1" applyProtection="1">
      <alignment horizontal="center"/>
      <protection hidden="1" locked="0"/>
    </xf>
    <xf numFmtId="167" fontId="8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10" fontId="0" fillId="0" borderId="0" xfId="0" applyNumberFormat="1" applyFont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10" fontId="0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/>
      <protection hidden="1"/>
    </xf>
    <xf numFmtId="2" fontId="4" fillId="0" borderId="11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168" fontId="7" fillId="0" borderId="0" xfId="0" applyNumberFormat="1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1" fontId="0" fillId="0" borderId="0" xfId="0" applyNumberFormat="1" applyFont="1" applyAlignment="1" applyProtection="1">
      <alignment/>
      <protection hidden="1"/>
    </xf>
    <xf numFmtId="11" fontId="1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9" fontId="2" fillId="0" borderId="0" xfId="0" applyNumberFormat="1" applyFont="1" applyBorder="1" applyAlignment="1" applyProtection="1">
      <alignment horizontal="center"/>
      <protection hidden="1" locked="0"/>
    </xf>
    <xf numFmtId="10" fontId="8" fillId="0" borderId="0" xfId="0" applyNumberFormat="1" applyFont="1" applyFill="1" applyBorder="1" applyAlignment="1" applyProtection="1">
      <alignment horizontal="center"/>
      <protection hidden="1" locked="0"/>
    </xf>
    <xf numFmtId="166" fontId="8" fillId="0" borderId="0" xfId="0" applyNumberFormat="1" applyFont="1" applyBorder="1" applyAlignment="1" applyProtection="1">
      <alignment horizontal="center"/>
      <protection hidden="1" locked="0"/>
    </xf>
    <xf numFmtId="167" fontId="8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65" fontId="0" fillId="0" borderId="0" xfId="0" applyNumberFormat="1" applyBorder="1" applyAlignment="1" applyProtection="1">
      <alignment horizontal="center" vertical="center"/>
      <protection hidden="1" locked="0"/>
    </xf>
    <xf numFmtId="165" fontId="57" fillId="0" borderId="0" xfId="0" applyNumberFormat="1" applyFont="1" applyBorder="1" applyAlignment="1" applyProtection="1">
      <alignment/>
      <protection locked="0"/>
    </xf>
    <xf numFmtId="1" fontId="5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M_MU_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certainty Calculator"/>
      <sheetName val="Sheet2"/>
      <sheetName val="Sheet3"/>
    </sheetNames>
    <sheetDataSet>
      <sheetData sheetId="1">
        <row r="2">
          <cell r="B2" t="str">
            <v>KHz</v>
          </cell>
        </row>
        <row r="3">
          <cell r="B3" t="str">
            <v>MHz</v>
          </cell>
        </row>
        <row r="4">
          <cell r="B4" t="str">
            <v>GHz</v>
          </cell>
        </row>
        <row r="8">
          <cell r="B8">
            <v>1</v>
          </cell>
        </row>
        <row r="9">
          <cell r="B9">
            <v>2</v>
          </cell>
        </row>
        <row r="10">
          <cell r="B10">
            <v>4</v>
          </cell>
        </row>
        <row r="11">
          <cell r="B11">
            <v>8</v>
          </cell>
        </row>
        <row r="12">
          <cell r="B12">
            <v>16</v>
          </cell>
        </row>
        <row r="13">
          <cell r="B13">
            <v>32</v>
          </cell>
        </row>
        <row r="14">
          <cell r="B14">
            <v>64</v>
          </cell>
        </row>
        <row r="15">
          <cell r="B15">
            <v>128</v>
          </cell>
        </row>
        <row r="16">
          <cell r="B16">
            <v>256</v>
          </cell>
        </row>
        <row r="17">
          <cell r="B17">
            <v>512</v>
          </cell>
        </row>
        <row r="18">
          <cell r="B18">
            <v>1024</v>
          </cell>
        </row>
        <row r="20">
          <cell r="B20" t="str">
            <v>Rectangular</v>
          </cell>
        </row>
        <row r="22">
          <cell r="B22" t="str">
            <v>U-Shape</v>
          </cell>
          <cell r="C22">
            <v>1.4142135623730951</v>
          </cell>
        </row>
        <row r="24">
          <cell r="B24" t="str">
            <v>15% to 75% RH</v>
          </cell>
        </row>
        <row r="25">
          <cell r="B25" t="str">
            <v>75% to 95% RH</v>
          </cell>
        </row>
        <row r="52">
          <cell r="C52" t="str">
            <v>E9300A</v>
          </cell>
          <cell r="D52" t="str">
            <v>E9301A</v>
          </cell>
          <cell r="E52" t="str">
            <v>E9304A</v>
          </cell>
          <cell r="F52" t="str">
            <v>E9300B</v>
          </cell>
          <cell r="G52" t="str">
            <v>E9301B</v>
          </cell>
          <cell r="H52" t="str">
            <v>E9300H</v>
          </cell>
          <cell r="I52" t="str">
            <v>E9301H</v>
          </cell>
          <cell r="J52" t="str">
            <v>8481A</v>
          </cell>
          <cell r="K52" t="str">
            <v>8482A</v>
          </cell>
          <cell r="L52" t="str">
            <v>8483A</v>
          </cell>
          <cell r="M52" t="str">
            <v>8485A</v>
          </cell>
          <cell r="N52" t="str">
            <v>8487A</v>
          </cell>
          <cell r="O52" t="str">
            <v>R8486A</v>
          </cell>
          <cell r="P52" t="str">
            <v>Q8486A</v>
          </cell>
          <cell r="Q52" t="str">
            <v>8481B</v>
          </cell>
          <cell r="R52" t="str">
            <v>8482B</v>
          </cell>
          <cell r="S52" t="str">
            <v>8481D</v>
          </cell>
          <cell r="T52" t="str">
            <v>8485D</v>
          </cell>
          <cell r="U52" t="str">
            <v>8487D</v>
          </cell>
          <cell r="V52" t="str">
            <v>8481H</v>
          </cell>
          <cell r="W52" t="str">
            <v>8482H</v>
          </cell>
          <cell r="X52" t="str">
            <v>R8486D</v>
          </cell>
          <cell r="Y52" t="str">
            <v>Q8486D</v>
          </cell>
          <cell r="Z52" t="str">
            <v>E4412A</v>
          </cell>
          <cell r="AA52" t="str">
            <v>E4413A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9.00390625" style="0" customWidth="1"/>
    <col min="2" max="2" width="16.421875" style="0" customWidth="1"/>
    <col min="3" max="3" width="15.57421875" style="0" customWidth="1"/>
    <col min="4" max="4" width="28.140625" style="0" customWidth="1"/>
    <col min="5" max="5" width="12.421875" style="0" customWidth="1"/>
    <col min="6" max="6" width="18.00390625" style="0" customWidth="1"/>
  </cols>
  <sheetData>
    <row r="1" ht="15.75">
      <c r="A1" s="22" t="s">
        <v>126</v>
      </c>
    </row>
    <row r="2" ht="12.75">
      <c r="A2" s="23"/>
    </row>
    <row r="3" spans="1:6" ht="12.75">
      <c r="A3" s="24" t="s">
        <v>1</v>
      </c>
      <c r="B3" s="34" t="s">
        <v>2</v>
      </c>
      <c r="C3" s="35"/>
      <c r="D3" s="5"/>
      <c r="E3" s="8"/>
      <c r="F3" s="2"/>
    </row>
    <row r="4" spans="1:6" ht="12.75">
      <c r="A4" s="25" t="s">
        <v>3</v>
      </c>
      <c r="B4" s="14">
        <v>1.25</v>
      </c>
      <c r="C4" s="36"/>
      <c r="D4" s="10"/>
      <c r="E4" s="8"/>
      <c r="F4" s="2"/>
    </row>
    <row r="5" spans="1:6" ht="12.75">
      <c r="A5" s="25" t="s">
        <v>4</v>
      </c>
      <c r="B5" s="15" t="s">
        <v>30</v>
      </c>
      <c r="C5" s="35"/>
      <c r="D5" s="11"/>
      <c r="E5" s="8"/>
      <c r="F5" s="2"/>
    </row>
    <row r="6" spans="1:6" ht="12.75">
      <c r="A6" s="25" t="s">
        <v>0</v>
      </c>
      <c r="B6" s="14">
        <v>2</v>
      </c>
      <c r="C6" s="37" t="s">
        <v>5</v>
      </c>
      <c r="D6" s="12" t="str">
        <f>VLOOKUP(B5,Data!A140:B152,2,FALSE)</f>
        <v> </v>
      </c>
      <c r="E6" s="8"/>
      <c r="F6" s="2"/>
    </row>
    <row r="7" spans="1:6" ht="12.75">
      <c r="A7" s="25" t="s">
        <v>6</v>
      </c>
      <c r="B7" s="14">
        <v>-13</v>
      </c>
      <c r="C7" s="37" t="s">
        <v>7</v>
      </c>
      <c r="D7" s="12" t="str">
        <f>VLOOKUP(B5,Data!D140:E152,2,FALSE)</f>
        <v> </v>
      </c>
      <c r="E7" s="17">
        <f>10^(B7/10)/1000</f>
        <v>5.0118723362727204E-05</v>
      </c>
      <c r="F7" s="8" t="s">
        <v>42</v>
      </c>
    </row>
    <row r="8" spans="1:6" ht="12.75">
      <c r="A8" s="25" t="s">
        <v>8</v>
      </c>
      <c r="B8" s="14">
        <v>16</v>
      </c>
      <c r="C8" s="37"/>
      <c r="D8" s="13"/>
      <c r="E8" s="8"/>
      <c r="F8" s="2"/>
    </row>
    <row r="9" spans="1:6" ht="12.75">
      <c r="A9" s="25" t="s">
        <v>51</v>
      </c>
      <c r="B9" s="16" t="s">
        <v>49</v>
      </c>
      <c r="C9" s="38" t="str">
        <f>IF(AND(OR(B5="U2000A",B5="U2001A",B5="U2002A",B5="U2004A",B5="U2001B",B5="U2000H",B5="U2001H",B5="U2002H"),B9="FAST"),"Invalid input!"," ")</f>
        <v> </v>
      </c>
      <c r="D9" s="6"/>
      <c r="E9" s="8"/>
      <c r="F9" s="2"/>
    </row>
    <row r="10" spans="1:6" ht="12.75">
      <c r="A10" s="25" t="s">
        <v>123</v>
      </c>
      <c r="B10" s="18" t="s">
        <v>79</v>
      </c>
      <c r="C10" s="37"/>
      <c r="D10" s="6"/>
      <c r="E10" s="8"/>
      <c r="F10" s="2"/>
    </row>
    <row r="11" spans="1:6" ht="12.75">
      <c r="A11" s="25" t="s">
        <v>86</v>
      </c>
      <c r="B11" s="92" t="s">
        <v>87</v>
      </c>
      <c r="C11" s="39"/>
      <c r="D11" s="19" t="str">
        <f>IF(AND(OR(B5="U8481A",B5="U8485A",B5="U8487A",B5="U8488A"),B11="Time-gated mode (normal mode)"),"Invalid input!"," ")</f>
        <v> </v>
      </c>
      <c r="E11" s="8"/>
      <c r="F11" s="2"/>
    </row>
    <row r="12" spans="1:6" ht="12.75">
      <c r="A12" s="25" t="s">
        <v>124</v>
      </c>
      <c r="B12" s="93">
        <v>2000</v>
      </c>
      <c r="C12" s="40" t="s">
        <v>89</v>
      </c>
      <c r="D12" s="6"/>
      <c r="E12" s="8"/>
      <c r="F12" s="2"/>
    </row>
    <row r="13" spans="1:6" ht="12.75">
      <c r="A13" s="26"/>
      <c r="B13" s="1"/>
      <c r="C13" s="39"/>
      <c r="D13" s="6"/>
      <c r="E13" s="8"/>
      <c r="F13" s="2"/>
    </row>
    <row r="14" spans="1:6" ht="12.75">
      <c r="A14" s="27" t="s">
        <v>9</v>
      </c>
      <c r="B14" s="27" t="s">
        <v>10</v>
      </c>
      <c r="C14" s="41" t="s">
        <v>81</v>
      </c>
      <c r="D14" s="41" t="s">
        <v>11</v>
      </c>
      <c r="E14" s="41" t="s">
        <v>12</v>
      </c>
      <c r="F14" s="42" t="s">
        <v>13</v>
      </c>
    </row>
    <row r="15" spans="1:6" ht="12.75">
      <c r="A15" s="87" t="s">
        <v>14</v>
      </c>
      <c r="B15" s="88" t="s">
        <v>15</v>
      </c>
      <c r="C15" s="47" t="str">
        <f>"|Гg| = "&amp;TEXT(Data!B129,"0.000")</f>
        <v>|Гg| = 0.111</v>
      </c>
      <c r="D15" s="89" t="s">
        <v>47</v>
      </c>
      <c r="E15" s="91">
        <f>VLOOKUP(D15,Data!$A$134:$B$136,2,FALSE)</f>
        <v>1.4142135623730951</v>
      </c>
      <c r="F15" s="85">
        <f>Data!B129*Data!B130/calculator!E15</f>
        <v>0.006816351518287366</v>
      </c>
    </row>
    <row r="16" spans="1:6" ht="12.75">
      <c r="A16" s="87"/>
      <c r="B16" s="88"/>
      <c r="C16" s="48" t="str">
        <f>"|Гs| = "&amp;TEXT(Data!B130,"0.000")</f>
        <v>|Гs| = 0.087</v>
      </c>
      <c r="D16" s="90"/>
      <c r="E16" s="86"/>
      <c r="F16" s="86"/>
    </row>
    <row r="17" spans="1:6" ht="12.75">
      <c r="A17" s="28" t="s">
        <v>41</v>
      </c>
      <c r="B17" s="3" t="s">
        <v>17</v>
      </c>
      <c r="C17" s="49">
        <f>IF(OR(B5="U8481A",B5="U8485A",B5="U8487A",B5="U8488A"),Data!B230,IF(B11="Average only mode",Data!H156,Data!H157))</f>
        <v>1.5E-09</v>
      </c>
      <c r="D17" s="52" t="s">
        <v>16</v>
      </c>
      <c r="E17" s="53">
        <f>VLOOKUP(D17,Data!$A$134:$B$136,2,FALSE)</f>
        <v>1.7320508075688772</v>
      </c>
      <c r="F17" s="54">
        <f>C17/E7/E17</f>
        <v>1.7279478519767988E-05</v>
      </c>
    </row>
    <row r="18" spans="1:6" ht="15.75">
      <c r="A18" s="28" t="s">
        <v>52</v>
      </c>
      <c r="B18" s="3" t="s">
        <v>18</v>
      </c>
      <c r="C18" s="50">
        <f>INDEX(Data!A103:N127,MATCH(calculator!B6,Data!A103:Data!A127,1),MATCH(calculator!B5,Data!A103:N103,0))</f>
        <v>0.02</v>
      </c>
      <c r="D18" s="52" t="s">
        <v>19</v>
      </c>
      <c r="E18" s="53">
        <f>VLOOKUP(D18,Data!$A$134:$B$136,2,FALSE)</f>
        <v>2</v>
      </c>
      <c r="F18" s="54">
        <f>C18/E18</f>
        <v>0.01</v>
      </c>
    </row>
    <row r="19" spans="1:6" ht="15.75">
      <c r="A19" s="28" t="s">
        <v>20</v>
      </c>
      <c r="B19" s="3" t="s">
        <v>21</v>
      </c>
      <c r="C19" s="50">
        <f>IF(B11="Average only mode",INDEX(Data!A32:N37,MATCH(calculator!B7,Data!A32:A37,1),MATCH(calculator!B5,Data!A32:N32,0)),HLOOKUP(B5,Data!B163:J164,2,FALSE))</f>
        <v>0.03</v>
      </c>
      <c r="D19" s="52" t="s">
        <v>19</v>
      </c>
      <c r="E19" s="53">
        <f>VLOOKUP(D19,Data!$A$134:$B$136,2,FALSE)</f>
        <v>2</v>
      </c>
      <c r="F19" s="54">
        <f>C19/E19</f>
        <v>0.015</v>
      </c>
    </row>
    <row r="20" spans="1:6" ht="15.75">
      <c r="A20" s="28" t="s">
        <v>43</v>
      </c>
      <c r="B20" s="3" t="s">
        <v>22</v>
      </c>
      <c r="C20" s="49">
        <f>IF(OR(B5="U8481A",B5="U8485A",B5="U8487A",B5="U8488A"),Data!B229,INDEX(Data!A155:C157,MATCH(calculator!B10,Data!A155:A157,0),MATCH(B11,Data!A155:C155,0)))</f>
        <v>1.2E-08</v>
      </c>
      <c r="D20" s="52" t="s">
        <v>16</v>
      </c>
      <c r="E20" s="53">
        <f>VLOOKUP(D20,Data!$A$134:$B$136,2,FALSE)</f>
        <v>1.7320508075688772</v>
      </c>
      <c r="F20" s="54">
        <f>C20/E7/E20</f>
        <v>0.0001382358281581439</v>
      </c>
    </row>
    <row r="21" spans="1:6" ht="12.75">
      <c r="A21" s="29" t="s">
        <v>90</v>
      </c>
      <c r="B21" s="3" t="s">
        <v>23</v>
      </c>
      <c r="C21" s="49">
        <f>IF(OR(B5="U8481A",B5="U8485A",B5="U8487A",B5="U8488A"),Data!B231,IF(B11="Average only mode",Data!C220,Data!B221))</f>
        <v>1.5E-08</v>
      </c>
      <c r="D21" s="52" t="s">
        <v>16</v>
      </c>
      <c r="E21" s="53">
        <f>VLOOKUP(D21,Data!$A$134:$B$136,2,FALSE)</f>
        <v>1.7320508075688772</v>
      </c>
      <c r="F21" s="54">
        <f>C21*Data!B131/calculator!E7/E21</f>
        <v>0.00017279478519767984</v>
      </c>
    </row>
    <row r="22" spans="1:6" ht="15.75">
      <c r="A22" s="30" t="s">
        <v>140</v>
      </c>
      <c r="B22" s="20" t="s">
        <v>141</v>
      </c>
      <c r="C22" s="51">
        <f>IF(OR(B5="U8481A",B5="U8485A",B5="U8487A",B5="U8488A"),0.0052,0)</f>
        <v>0</v>
      </c>
      <c r="D22" s="52" t="s">
        <v>19</v>
      </c>
      <c r="E22" s="53">
        <f>VLOOKUP(D22,Data!$A$134:$B$136,2,FALSE)</f>
        <v>2</v>
      </c>
      <c r="F22" s="54">
        <f>C22/E22</f>
        <v>0</v>
      </c>
    </row>
    <row r="23" spans="1:6" ht="12.75">
      <c r="A23" s="30"/>
      <c r="B23" s="20"/>
      <c r="C23" s="21"/>
      <c r="D23" s="5"/>
      <c r="E23" s="7"/>
      <c r="F23" s="82"/>
    </row>
    <row r="24" spans="1:6" ht="12.75">
      <c r="A24" s="28"/>
      <c r="B24" s="2"/>
      <c r="C24" s="2"/>
      <c r="D24" s="43" t="s">
        <v>24</v>
      </c>
      <c r="E24" s="44" t="s">
        <v>25</v>
      </c>
      <c r="F24" s="83">
        <f>((F15^2+F17^2+F18^2+F19^2+F20^2+F21^2+F22^2))^0.5</f>
        <v>0.019274644323131217</v>
      </c>
    </row>
    <row r="25" spans="1:6" ht="12.75">
      <c r="A25" s="28"/>
      <c r="B25" s="2"/>
      <c r="C25" s="6"/>
      <c r="D25" s="43" t="s">
        <v>26</v>
      </c>
      <c r="E25" s="45" t="s">
        <v>25</v>
      </c>
      <c r="F25" s="94">
        <v>2</v>
      </c>
    </row>
    <row r="26" spans="1:6" ht="12.75">
      <c r="A26" s="28"/>
      <c r="B26" s="2"/>
      <c r="C26" s="2"/>
      <c r="D26" s="43" t="s">
        <v>27</v>
      </c>
      <c r="E26" s="44" t="s">
        <v>25</v>
      </c>
      <c r="F26" s="83">
        <f>F24*F25</f>
        <v>0.03854928864626243</v>
      </c>
    </row>
    <row r="27" spans="1:6" ht="12.75">
      <c r="A27" s="28"/>
      <c r="B27" s="2"/>
      <c r="C27" s="5"/>
      <c r="D27" s="46" t="s">
        <v>28</v>
      </c>
      <c r="E27" s="45" t="s">
        <v>25</v>
      </c>
      <c r="F27" s="84" t="str">
        <f>"+ "&amp;TEXT(ABS(10*LOG((1+F26),10)),"0.000")&amp;"dB "</f>
        <v>+ 0.164dB </v>
      </c>
    </row>
    <row r="28" spans="1:6" ht="12.75">
      <c r="A28" s="28"/>
      <c r="B28" s="2"/>
      <c r="C28" s="5"/>
      <c r="D28" s="46" t="s">
        <v>29</v>
      </c>
      <c r="E28" s="45" t="s">
        <v>25</v>
      </c>
      <c r="F28" s="84" t="str">
        <f>"− "&amp;TEXT(ABS(10*LOG((1-F26),10)),"0.000")&amp;"dB "</f>
        <v>− 0.171dB </v>
      </c>
    </row>
    <row r="29" spans="1:8" ht="12.75">
      <c r="A29" s="28"/>
      <c r="B29" s="2"/>
      <c r="C29" s="2"/>
      <c r="D29" s="28"/>
      <c r="E29" s="28"/>
      <c r="F29" s="2"/>
      <c r="G29" s="9"/>
      <c r="H29" s="9"/>
    </row>
    <row r="30" spans="1:8" ht="12.75">
      <c r="A30" s="31"/>
      <c r="B30" s="9"/>
      <c r="C30" s="9"/>
      <c r="D30" s="9"/>
      <c r="E30" s="9"/>
      <c r="F30" s="9"/>
      <c r="G30" s="9"/>
      <c r="H30" s="9"/>
    </row>
    <row r="31" spans="1:8" ht="12.75">
      <c r="A31" s="32" t="s">
        <v>125</v>
      </c>
      <c r="B31" s="9"/>
      <c r="C31" s="9"/>
      <c r="D31" s="9"/>
      <c r="E31" s="9"/>
      <c r="F31" s="9"/>
      <c r="G31" s="9"/>
      <c r="H31" s="9"/>
    </row>
    <row r="32" spans="1:8" ht="12.75">
      <c r="A32" s="32" t="s">
        <v>137</v>
      </c>
      <c r="B32" s="9"/>
      <c r="C32" s="9"/>
      <c r="D32" s="9"/>
      <c r="E32" s="9"/>
      <c r="F32" s="9"/>
      <c r="G32" s="9"/>
      <c r="H32" s="9"/>
    </row>
    <row r="33" spans="1:8" ht="12.75">
      <c r="A33" s="23"/>
      <c r="B33" s="9"/>
      <c r="C33" s="9"/>
      <c r="D33" s="9"/>
      <c r="E33" s="9"/>
      <c r="F33" s="9"/>
      <c r="G33" s="9"/>
      <c r="H33" s="9"/>
    </row>
    <row r="34" spans="1:8" ht="12.75">
      <c r="A34" s="31" t="s">
        <v>138</v>
      </c>
      <c r="B34" s="9"/>
      <c r="C34" s="9"/>
      <c r="D34" s="4"/>
      <c r="E34" s="9"/>
      <c r="F34" s="9"/>
      <c r="G34" s="9"/>
      <c r="H34" s="9"/>
    </row>
    <row r="35" spans="1:8" ht="12.75">
      <c r="A35" s="33" t="s">
        <v>122</v>
      </c>
      <c r="B35" s="9"/>
      <c r="C35" s="9"/>
      <c r="D35" s="9"/>
      <c r="E35" s="9"/>
      <c r="F35" s="9"/>
      <c r="G35" s="9"/>
      <c r="H35" s="9"/>
    </row>
    <row r="36" spans="1:8" ht="12.75">
      <c r="A36" s="23" t="s">
        <v>83</v>
      </c>
      <c r="B36" s="9"/>
      <c r="C36" s="9"/>
      <c r="D36" s="9"/>
      <c r="E36" s="9"/>
      <c r="F36" s="9"/>
      <c r="G36" s="9"/>
      <c r="H36" s="9"/>
    </row>
    <row r="37" spans="1:8" ht="12.75">
      <c r="A37" s="23" t="s">
        <v>100</v>
      </c>
      <c r="B37" s="9"/>
      <c r="C37" s="9"/>
      <c r="D37" s="9"/>
      <c r="E37" s="9"/>
      <c r="F37" s="9"/>
      <c r="G37" s="9"/>
      <c r="H37" s="9"/>
    </row>
    <row r="38" spans="1:8" ht="12.75">
      <c r="A38" s="23"/>
      <c r="B38" s="9"/>
      <c r="C38" s="9"/>
      <c r="D38" s="9"/>
      <c r="E38" s="9"/>
      <c r="F38" s="9"/>
      <c r="G38" s="9"/>
      <c r="H38" s="9"/>
    </row>
    <row r="39" spans="1:8" ht="12.75">
      <c r="A39" s="23"/>
      <c r="B39" s="9"/>
      <c r="C39" s="9"/>
      <c r="D39" s="9"/>
      <c r="E39" s="9"/>
      <c r="F39" s="9"/>
      <c r="G39" s="9"/>
      <c r="H39" s="9"/>
    </row>
    <row r="40" ht="12.75">
      <c r="A40" s="23"/>
    </row>
  </sheetData>
  <sheetProtection password="EC3E" sheet="1"/>
  <mergeCells count="5">
    <mergeCell ref="F15:F16"/>
    <mergeCell ref="A15:A16"/>
    <mergeCell ref="B15:B16"/>
    <mergeCell ref="D15:D16"/>
    <mergeCell ref="E15:E16"/>
  </mergeCells>
  <dataValidations count="7">
    <dataValidation type="list" showInputMessage="1" showErrorMessage="1" sqref="D15:D21">
      <formula1>div</formula1>
    </dataValidation>
    <dataValidation type="list" showInputMessage="1" showErrorMessage="1" sqref="B8">
      <formula1>avg</formula1>
    </dataValidation>
    <dataValidation type="list" allowBlank="1" showInputMessage="1" showErrorMessage="1" sqref="B9">
      <formula1>type</formula1>
    </dataValidation>
    <dataValidation type="list" allowBlank="1" showInputMessage="1" showErrorMessage="1" sqref="B10">
      <formula1>zero</formula1>
    </dataValidation>
    <dataValidation type="list" allowBlank="1" showInputMessage="1" showErrorMessage="1" sqref="B11">
      <formula1>meas_mode</formula1>
    </dataValidation>
    <dataValidation type="list" allowBlank="1" showInputMessage="1" showErrorMessage="1" sqref="B5">
      <formula1>model</formula1>
    </dataValidation>
    <dataValidation type="list" allowBlank="1" showInputMessage="1" showErrorMessage="1" sqref="D22:D23">
      <formula1>div</formula1>
    </dataValidation>
  </dataValidations>
  <printOptions/>
  <pageMargins left="0.75" right="0.75" top="1" bottom="1" header="0.5" footer="0.5"/>
  <pageSetup horizontalDpi="600" verticalDpi="600" orientation="portrait" r:id="rId1"/>
  <ignoredErrors>
    <ignoredError sqref="C15:C22 E15:F22 F24 F26:F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47"/>
  <sheetViews>
    <sheetView zoomScalePageLayoutView="0" workbookViewId="0" topLeftCell="A136">
      <selection activeCell="F152" sqref="F152"/>
    </sheetView>
  </sheetViews>
  <sheetFormatPr defaultColWidth="9.140625" defaultRowHeight="12.75"/>
  <cols>
    <col min="1" max="1" width="21.00390625" style="23" customWidth="1"/>
    <col min="2" max="2" width="13.57421875" style="23" customWidth="1"/>
    <col min="3" max="3" width="14.7109375" style="23" customWidth="1"/>
    <col min="4" max="5" width="12.00390625" style="23" customWidth="1"/>
    <col min="6" max="6" width="9.140625" style="23" customWidth="1"/>
    <col min="7" max="7" width="9.57421875" style="23" bestFit="1" customWidth="1"/>
    <col min="8" max="8" width="12.421875" style="23" bestFit="1" customWidth="1"/>
    <col min="9" max="16384" width="9.140625" style="23" customWidth="1"/>
  </cols>
  <sheetData>
    <row r="1" ht="12.75"/>
    <row r="2" ht="12.75"/>
    <row r="3" ht="12.75">
      <c r="A3" s="31" t="s">
        <v>34</v>
      </c>
    </row>
    <row r="4" ht="12.75"/>
    <row r="5" spans="1:14" ht="12.75">
      <c r="A5" s="23" t="s">
        <v>0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54</v>
      </c>
      <c r="G5" s="23" t="s">
        <v>67</v>
      </c>
      <c r="H5" s="23" t="s">
        <v>69</v>
      </c>
      <c r="I5" s="23" t="s">
        <v>70</v>
      </c>
      <c r="J5" s="23" t="s">
        <v>71</v>
      </c>
      <c r="K5" s="23" t="s">
        <v>110</v>
      </c>
      <c r="L5" s="23" t="s">
        <v>111</v>
      </c>
      <c r="M5" s="33" t="s">
        <v>127</v>
      </c>
      <c r="N5" s="33" t="s">
        <v>128</v>
      </c>
    </row>
    <row r="6" spans="1:14" ht="12.75">
      <c r="A6" s="33" t="s">
        <v>112</v>
      </c>
      <c r="B6" s="55" t="s">
        <v>48</v>
      </c>
      <c r="C6" s="55" t="s">
        <v>48</v>
      </c>
      <c r="D6" s="55" t="s">
        <v>48</v>
      </c>
      <c r="E6" s="56" t="s">
        <v>48</v>
      </c>
      <c r="F6" s="55" t="s">
        <v>48</v>
      </c>
      <c r="G6" s="55" t="s">
        <v>48</v>
      </c>
      <c r="H6" s="55" t="s">
        <v>48</v>
      </c>
      <c r="I6" s="55" t="s">
        <v>48</v>
      </c>
      <c r="J6" s="55" t="s">
        <v>48</v>
      </c>
      <c r="K6" s="55">
        <v>1.11</v>
      </c>
      <c r="L6" s="55">
        <v>1.07</v>
      </c>
      <c r="M6" s="57" t="s">
        <v>48</v>
      </c>
      <c r="N6" s="57" t="s">
        <v>48</v>
      </c>
    </row>
    <row r="7" spans="1:14" ht="12.75">
      <c r="A7" s="33">
        <v>1E-12</v>
      </c>
      <c r="B7" s="55" t="s">
        <v>48</v>
      </c>
      <c r="C7" s="55" t="s">
        <v>48</v>
      </c>
      <c r="D7" s="55" t="s">
        <v>48</v>
      </c>
      <c r="E7" s="56" t="s">
        <v>48</v>
      </c>
      <c r="F7" s="55" t="s">
        <v>48</v>
      </c>
      <c r="G7" s="55" t="s">
        <v>48</v>
      </c>
      <c r="H7" s="55" t="s">
        <v>48</v>
      </c>
      <c r="I7" s="55" t="s">
        <v>48</v>
      </c>
      <c r="J7" s="55" t="s">
        <v>48</v>
      </c>
      <c r="K7" s="55">
        <v>1.11</v>
      </c>
      <c r="L7" s="55">
        <v>1.07</v>
      </c>
      <c r="M7" s="56" t="s">
        <v>48</v>
      </c>
      <c r="N7" s="56" t="s">
        <v>48</v>
      </c>
    </row>
    <row r="8" spans="1:16" ht="12.75">
      <c r="A8" s="23">
        <v>9E-06</v>
      </c>
      <c r="B8" s="55" t="s">
        <v>48</v>
      </c>
      <c r="C8" s="55" t="s">
        <v>48</v>
      </c>
      <c r="D8" s="55" t="s">
        <v>48</v>
      </c>
      <c r="E8" s="55">
        <v>1.13</v>
      </c>
      <c r="F8" s="55" t="s">
        <v>48</v>
      </c>
      <c r="G8" s="55" t="s">
        <v>48</v>
      </c>
      <c r="H8" s="55" t="s">
        <v>48</v>
      </c>
      <c r="I8" s="55" t="s">
        <v>48</v>
      </c>
      <c r="J8" s="55" t="s">
        <v>48</v>
      </c>
      <c r="K8" s="55">
        <v>1.11</v>
      </c>
      <c r="L8" s="55">
        <v>1.07</v>
      </c>
      <c r="M8" s="57" t="s">
        <v>48</v>
      </c>
      <c r="N8" s="57" t="s">
        <v>48</v>
      </c>
      <c r="P8" s="55" t="s">
        <v>55</v>
      </c>
    </row>
    <row r="9" spans="1:16" ht="12.75">
      <c r="A9" s="23">
        <v>0.01</v>
      </c>
      <c r="B9" s="55">
        <v>1.15</v>
      </c>
      <c r="C9" s="55">
        <v>1.15</v>
      </c>
      <c r="D9" s="55" t="s">
        <v>48</v>
      </c>
      <c r="E9" s="55">
        <v>1.13</v>
      </c>
      <c r="F9" s="55">
        <v>1.12</v>
      </c>
      <c r="G9" s="55">
        <v>1.15</v>
      </c>
      <c r="H9" s="55">
        <v>1.12</v>
      </c>
      <c r="I9" s="55">
        <v>1.15</v>
      </c>
      <c r="J9" s="55" t="s">
        <v>48</v>
      </c>
      <c r="K9" s="55">
        <v>1.37</v>
      </c>
      <c r="L9" s="55">
        <v>1.33</v>
      </c>
      <c r="M9" s="55">
        <v>1.35</v>
      </c>
      <c r="N9" s="55">
        <v>1.06</v>
      </c>
      <c r="P9" s="55" t="s">
        <v>56</v>
      </c>
    </row>
    <row r="10" spans="1:16" ht="12.75">
      <c r="A10" s="23">
        <v>0.03</v>
      </c>
      <c r="B10" s="55">
        <v>1.13</v>
      </c>
      <c r="C10" s="55">
        <v>1.13</v>
      </c>
      <c r="D10" s="55" t="s">
        <v>48</v>
      </c>
      <c r="E10" s="55">
        <v>1.13</v>
      </c>
      <c r="F10" s="55">
        <v>1.12</v>
      </c>
      <c r="G10" s="55">
        <v>1.15</v>
      </c>
      <c r="H10" s="55">
        <v>1.12</v>
      </c>
      <c r="I10" s="55">
        <v>1.15</v>
      </c>
      <c r="J10" s="55" t="s">
        <v>48</v>
      </c>
      <c r="K10" s="55">
        <v>1.14</v>
      </c>
      <c r="L10" s="55">
        <v>1.33</v>
      </c>
      <c r="M10" s="55">
        <v>1.35</v>
      </c>
      <c r="N10" s="55">
        <v>1.06</v>
      </c>
      <c r="P10" s="55" t="s">
        <v>57</v>
      </c>
    </row>
    <row r="11" spans="1:16" ht="12.75">
      <c r="A11" s="23">
        <v>0.05</v>
      </c>
      <c r="B11" s="55">
        <v>1.13</v>
      </c>
      <c r="C11" s="55">
        <v>1.13</v>
      </c>
      <c r="D11" s="55">
        <v>1.13</v>
      </c>
      <c r="E11" s="55">
        <v>1.13</v>
      </c>
      <c r="F11" s="55">
        <v>1.12</v>
      </c>
      <c r="G11" s="55">
        <v>1.15</v>
      </c>
      <c r="H11" s="55">
        <v>1.12</v>
      </c>
      <c r="I11" s="55">
        <v>1.15</v>
      </c>
      <c r="J11" s="55">
        <v>1.15</v>
      </c>
      <c r="K11" s="55">
        <v>1.08</v>
      </c>
      <c r="L11" s="55">
        <v>1.08</v>
      </c>
      <c r="M11" s="55">
        <v>1.08</v>
      </c>
      <c r="N11" s="55">
        <v>1.06</v>
      </c>
      <c r="P11" s="55" t="s">
        <v>58</v>
      </c>
    </row>
    <row r="12" spans="1:16" ht="12.75">
      <c r="A12" s="23">
        <v>0.1</v>
      </c>
      <c r="B12" s="55">
        <v>1.13</v>
      </c>
      <c r="C12" s="55">
        <v>1.13</v>
      </c>
      <c r="D12" s="55">
        <v>1.13</v>
      </c>
      <c r="E12" s="55">
        <v>1.13</v>
      </c>
      <c r="F12" s="55">
        <v>1.12</v>
      </c>
      <c r="G12" s="55">
        <v>1.15</v>
      </c>
      <c r="H12" s="55">
        <v>1.12</v>
      </c>
      <c r="I12" s="55">
        <v>1.15</v>
      </c>
      <c r="J12" s="55">
        <v>1.15</v>
      </c>
      <c r="K12" s="55">
        <v>1.08</v>
      </c>
      <c r="L12" s="55">
        <v>1.05</v>
      </c>
      <c r="M12" s="55">
        <v>1.05</v>
      </c>
      <c r="N12" s="55">
        <v>1.06</v>
      </c>
      <c r="P12" s="56" t="s">
        <v>113</v>
      </c>
    </row>
    <row r="13" spans="1:16" ht="12.75">
      <c r="A13" s="23">
        <v>2</v>
      </c>
      <c r="B13" s="55">
        <v>1.19</v>
      </c>
      <c r="C13" s="55">
        <v>1.19</v>
      </c>
      <c r="D13" s="55">
        <v>1.19</v>
      </c>
      <c r="E13" s="55">
        <v>1.19</v>
      </c>
      <c r="F13" s="55">
        <v>1.17</v>
      </c>
      <c r="G13" s="55">
        <v>1.15</v>
      </c>
      <c r="H13" s="55">
        <v>1.17</v>
      </c>
      <c r="I13" s="55">
        <v>1.15</v>
      </c>
      <c r="J13" s="55">
        <v>1.15</v>
      </c>
      <c r="K13" s="55">
        <v>1.16</v>
      </c>
      <c r="L13" s="55">
        <v>1.14</v>
      </c>
      <c r="M13" s="55">
        <v>1.1</v>
      </c>
      <c r="N13" s="55">
        <v>1.06</v>
      </c>
      <c r="P13" s="55" t="s">
        <v>59</v>
      </c>
    </row>
    <row r="14" spans="1:16" ht="12.75">
      <c r="A14" s="23">
        <v>2.4</v>
      </c>
      <c r="B14" s="55">
        <v>1.19</v>
      </c>
      <c r="C14" s="55">
        <v>1.19</v>
      </c>
      <c r="D14" s="55">
        <v>1.19</v>
      </c>
      <c r="E14" s="55">
        <v>1.19</v>
      </c>
      <c r="F14" s="55">
        <v>1.17</v>
      </c>
      <c r="G14" s="55">
        <v>1.15</v>
      </c>
      <c r="H14" s="55">
        <v>1.17</v>
      </c>
      <c r="I14" s="55">
        <v>1.15</v>
      </c>
      <c r="J14" s="55">
        <v>1.15</v>
      </c>
      <c r="K14" s="55">
        <v>1.16</v>
      </c>
      <c r="L14" s="55">
        <v>1.14</v>
      </c>
      <c r="M14" s="55">
        <v>1.1</v>
      </c>
      <c r="N14" s="55">
        <v>1.13</v>
      </c>
      <c r="P14" s="56" t="s">
        <v>133</v>
      </c>
    </row>
    <row r="15" spans="1:16" ht="12.75">
      <c r="A15" s="23">
        <v>6</v>
      </c>
      <c r="B15" s="55">
        <v>1.19</v>
      </c>
      <c r="C15" s="55">
        <v>1.19</v>
      </c>
      <c r="D15" s="55">
        <v>1.19</v>
      </c>
      <c r="E15" s="55">
        <v>1.19</v>
      </c>
      <c r="F15" s="55">
        <v>1.17</v>
      </c>
      <c r="G15" s="55">
        <v>1.15</v>
      </c>
      <c r="H15" s="55">
        <v>1.17</v>
      </c>
      <c r="I15" s="55">
        <v>1.15</v>
      </c>
      <c r="J15" s="55">
        <v>1.15</v>
      </c>
      <c r="K15" s="55">
        <v>1.16</v>
      </c>
      <c r="L15" s="55">
        <v>1.14</v>
      </c>
      <c r="M15" s="55">
        <v>1.1</v>
      </c>
      <c r="N15" s="55">
        <v>1.13</v>
      </c>
      <c r="P15" s="55" t="s">
        <v>60</v>
      </c>
    </row>
    <row r="16" spans="1:16" ht="12.75">
      <c r="A16" s="23">
        <v>8</v>
      </c>
      <c r="B16" s="55">
        <v>1.19</v>
      </c>
      <c r="C16" s="55">
        <v>1.19</v>
      </c>
      <c r="D16" s="55">
        <v>1.19</v>
      </c>
      <c r="E16" s="55">
        <v>1.19</v>
      </c>
      <c r="F16" s="55">
        <v>1.17</v>
      </c>
      <c r="G16" s="55">
        <v>1.25</v>
      </c>
      <c r="H16" s="55" t="s">
        <v>48</v>
      </c>
      <c r="I16" s="55" t="s">
        <v>48</v>
      </c>
      <c r="J16" s="55">
        <v>1.25</v>
      </c>
      <c r="K16" s="55">
        <v>1.16</v>
      </c>
      <c r="L16" s="55">
        <v>1.14</v>
      </c>
      <c r="M16" s="55">
        <v>1.1</v>
      </c>
      <c r="N16" s="55">
        <v>1.13</v>
      </c>
      <c r="P16" s="55" t="s">
        <v>68</v>
      </c>
    </row>
    <row r="17" spans="1:16" ht="12.75">
      <c r="A17" s="23">
        <v>12.4</v>
      </c>
      <c r="B17" s="55">
        <v>1.19</v>
      </c>
      <c r="C17" s="55">
        <v>1.19</v>
      </c>
      <c r="D17" s="55">
        <v>1.19</v>
      </c>
      <c r="E17" s="55">
        <v>1.19</v>
      </c>
      <c r="F17" s="55">
        <v>1.24</v>
      </c>
      <c r="G17" s="55">
        <v>1.28</v>
      </c>
      <c r="H17" s="55" t="s">
        <v>48</v>
      </c>
      <c r="I17" s="55" t="s">
        <v>48</v>
      </c>
      <c r="J17" s="55">
        <v>1.28</v>
      </c>
      <c r="K17" s="55">
        <v>1.23</v>
      </c>
      <c r="L17" s="55">
        <v>1.19</v>
      </c>
      <c r="M17" s="55">
        <v>1.16</v>
      </c>
      <c r="N17" s="55">
        <v>1.14</v>
      </c>
      <c r="P17" s="55" t="s">
        <v>66</v>
      </c>
    </row>
    <row r="18" spans="1:16" ht="12.75">
      <c r="A18" s="23">
        <v>14</v>
      </c>
      <c r="B18" s="55">
        <v>1.22</v>
      </c>
      <c r="C18" s="55" t="s">
        <v>48</v>
      </c>
      <c r="D18" s="55">
        <v>1.22</v>
      </c>
      <c r="E18" s="55" t="s">
        <v>48</v>
      </c>
      <c r="F18" s="55">
        <v>1.24</v>
      </c>
      <c r="G18" s="55">
        <v>1.28</v>
      </c>
      <c r="H18" s="55" t="s">
        <v>48</v>
      </c>
      <c r="I18" s="55" t="s">
        <v>48</v>
      </c>
      <c r="J18" s="55">
        <v>1.28</v>
      </c>
      <c r="K18" s="55">
        <v>1.23</v>
      </c>
      <c r="L18" s="55">
        <v>1.19</v>
      </c>
      <c r="M18" s="55">
        <v>1.16</v>
      </c>
      <c r="N18" s="55">
        <v>1.14</v>
      </c>
      <c r="P18" s="55" t="s">
        <v>61</v>
      </c>
    </row>
    <row r="19" spans="1:16" ht="12.75">
      <c r="A19" s="23">
        <v>16</v>
      </c>
      <c r="B19" s="55">
        <v>1.26</v>
      </c>
      <c r="C19" s="55" t="s">
        <v>48</v>
      </c>
      <c r="D19" s="55">
        <v>1.26</v>
      </c>
      <c r="E19" s="55" t="s">
        <v>48</v>
      </c>
      <c r="F19" s="55">
        <v>1.24</v>
      </c>
      <c r="G19" s="55">
        <v>1.28</v>
      </c>
      <c r="H19" s="55" t="s">
        <v>48</v>
      </c>
      <c r="I19" s="55" t="s">
        <v>48</v>
      </c>
      <c r="J19" s="55">
        <v>1.28</v>
      </c>
      <c r="K19" s="55">
        <v>1.23</v>
      </c>
      <c r="L19" s="55">
        <v>1.19</v>
      </c>
      <c r="M19" s="55">
        <v>1.16</v>
      </c>
      <c r="N19" s="55">
        <v>1.14</v>
      </c>
      <c r="P19" s="55" t="s">
        <v>62</v>
      </c>
    </row>
    <row r="20" spans="1:16" ht="12.75">
      <c r="A20" s="23">
        <v>18</v>
      </c>
      <c r="B20" s="55">
        <v>1.26</v>
      </c>
      <c r="C20" s="55" t="s">
        <v>48</v>
      </c>
      <c r="D20" s="55">
        <v>1.26</v>
      </c>
      <c r="E20" s="55" t="s">
        <v>48</v>
      </c>
      <c r="F20" s="55">
        <v>1.24</v>
      </c>
      <c r="G20" s="55">
        <v>1.28</v>
      </c>
      <c r="H20" s="55" t="s">
        <v>48</v>
      </c>
      <c r="I20" s="55" t="s">
        <v>48</v>
      </c>
      <c r="J20" s="58">
        <v>1.3</v>
      </c>
      <c r="K20" s="55">
        <v>1.23</v>
      </c>
      <c r="L20" s="55">
        <v>1.26</v>
      </c>
      <c r="M20" s="55">
        <v>1.22</v>
      </c>
      <c r="N20" s="55">
        <v>1.2</v>
      </c>
      <c r="P20" s="55" t="s">
        <v>63</v>
      </c>
    </row>
    <row r="21" spans="1:16" ht="12.75">
      <c r="A21" s="23">
        <v>19</v>
      </c>
      <c r="B21" s="55" t="s">
        <v>48</v>
      </c>
      <c r="C21" s="55" t="s">
        <v>48</v>
      </c>
      <c r="D21" s="58">
        <v>1.3</v>
      </c>
      <c r="E21" s="55" t="s">
        <v>48</v>
      </c>
      <c r="F21" s="55" t="s">
        <v>48</v>
      </c>
      <c r="G21" s="55" t="s">
        <v>48</v>
      </c>
      <c r="H21" s="55" t="s">
        <v>48</v>
      </c>
      <c r="I21" s="55" t="s">
        <v>48</v>
      </c>
      <c r="J21" s="58">
        <v>1.3</v>
      </c>
      <c r="K21" s="56" t="s">
        <v>48</v>
      </c>
      <c r="L21" s="55">
        <v>1.26</v>
      </c>
      <c r="M21" s="55">
        <v>1.22</v>
      </c>
      <c r="N21" s="55">
        <v>1.2</v>
      </c>
      <c r="P21" s="55" t="s">
        <v>64</v>
      </c>
    </row>
    <row r="22" spans="1:16" ht="12.75">
      <c r="A22" s="23">
        <v>24</v>
      </c>
      <c r="B22" s="55" t="s">
        <v>48</v>
      </c>
      <c r="C22" s="55" t="s">
        <v>48</v>
      </c>
      <c r="D22" s="58">
        <v>1.3</v>
      </c>
      <c r="E22" s="55" t="s">
        <v>48</v>
      </c>
      <c r="F22" s="55" t="s">
        <v>48</v>
      </c>
      <c r="G22" s="55" t="s">
        <v>48</v>
      </c>
      <c r="H22" s="55" t="s">
        <v>48</v>
      </c>
      <c r="I22" s="55" t="s">
        <v>48</v>
      </c>
      <c r="J22" s="58">
        <v>1.3</v>
      </c>
      <c r="K22" s="56" t="s">
        <v>48</v>
      </c>
      <c r="L22" s="55">
        <v>1.26</v>
      </c>
      <c r="M22" s="55">
        <v>1.22</v>
      </c>
      <c r="N22" s="55">
        <v>1.2</v>
      </c>
      <c r="P22" s="55" t="s">
        <v>65</v>
      </c>
    </row>
    <row r="23" spans="1:16" ht="12.75">
      <c r="A23" s="23">
        <v>26.5</v>
      </c>
      <c r="B23" s="55" t="s">
        <v>48</v>
      </c>
      <c r="C23" s="55" t="s">
        <v>48</v>
      </c>
      <c r="D23" s="55" t="s">
        <v>48</v>
      </c>
      <c r="E23" s="55" t="s">
        <v>48</v>
      </c>
      <c r="F23" s="55" t="s">
        <v>48</v>
      </c>
      <c r="G23" s="55" t="s">
        <v>48</v>
      </c>
      <c r="H23" s="55" t="s">
        <v>48</v>
      </c>
      <c r="I23" s="55" t="s">
        <v>48</v>
      </c>
      <c r="J23" s="56" t="s">
        <v>48</v>
      </c>
      <c r="K23" s="56" t="s">
        <v>48</v>
      </c>
      <c r="L23" s="55">
        <v>1.37</v>
      </c>
      <c r="M23" s="55">
        <v>1.3</v>
      </c>
      <c r="N23" s="55">
        <v>1.25</v>
      </c>
      <c r="P23" s="57" t="s">
        <v>114</v>
      </c>
    </row>
    <row r="24" spans="1:16" ht="12.75">
      <c r="A24" s="23">
        <v>33</v>
      </c>
      <c r="B24" s="55" t="s">
        <v>48</v>
      </c>
      <c r="C24" s="55" t="s">
        <v>48</v>
      </c>
      <c r="D24" s="55" t="s">
        <v>48</v>
      </c>
      <c r="E24" s="55" t="s">
        <v>48</v>
      </c>
      <c r="F24" s="55" t="s">
        <v>48</v>
      </c>
      <c r="G24" s="55" t="s">
        <v>48</v>
      </c>
      <c r="H24" s="55" t="s">
        <v>48</v>
      </c>
      <c r="I24" s="55" t="s">
        <v>48</v>
      </c>
      <c r="J24" s="56" t="s">
        <v>48</v>
      </c>
      <c r="K24" s="56" t="s">
        <v>48</v>
      </c>
      <c r="L24" s="55">
        <v>1.37</v>
      </c>
      <c r="M24" s="55">
        <v>1.3</v>
      </c>
      <c r="N24" s="55">
        <v>1.25</v>
      </c>
      <c r="P24" s="57" t="s">
        <v>115</v>
      </c>
    </row>
    <row r="25" spans="1:16" ht="12.75">
      <c r="A25" s="23">
        <v>40</v>
      </c>
      <c r="B25" s="55" t="s">
        <v>48</v>
      </c>
      <c r="C25" s="55" t="s">
        <v>48</v>
      </c>
      <c r="D25" s="55" t="s">
        <v>48</v>
      </c>
      <c r="E25" s="55" t="s">
        <v>48</v>
      </c>
      <c r="F25" s="55" t="s">
        <v>48</v>
      </c>
      <c r="G25" s="55" t="s">
        <v>48</v>
      </c>
      <c r="H25" s="55" t="s">
        <v>48</v>
      </c>
      <c r="I25" s="55" t="s">
        <v>48</v>
      </c>
      <c r="J25" s="56" t="s">
        <v>48</v>
      </c>
      <c r="K25" s="56" t="s">
        <v>48</v>
      </c>
      <c r="L25" s="56" t="s">
        <v>48</v>
      </c>
      <c r="M25" s="55">
        <v>1.34</v>
      </c>
      <c r="N25" s="55">
        <v>1.42</v>
      </c>
      <c r="P25" s="56" t="s">
        <v>129</v>
      </c>
    </row>
    <row r="26" spans="1:16" ht="12.75">
      <c r="A26" s="23">
        <v>50</v>
      </c>
      <c r="B26" s="55" t="s">
        <v>48</v>
      </c>
      <c r="C26" s="55" t="s">
        <v>48</v>
      </c>
      <c r="D26" s="55" t="s">
        <v>48</v>
      </c>
      <c r="E26" s="55" t="s">
        <v>48</v>
      </c>
      <c r="F26" s="55" t="s">
        <v>48</v>
      </c>
      <c r="G26" s="55" t="s">
        <v>48</v>
      </c>
      <c r="H26" s="55" t="s">
        <v>48</v>
      </c>
      <c r="I26" s="55" t="s">
        <v>48</v>
      </c>
      <c r="J26" s="56" t="s">
        <v>48</v>
      </c>
      <c r="K26" s="56" t="s">
        <v>48</v>
      </c>
      <c r="L26" s="56" t="s">
        <v>48</v>
      </c>
      <c r="M26" s="55">
        <v>1.34</v>
      </c>
      <c r="N26" s="55">
        <v>1.42</v>
      </c>
      <c r="P26" s="56" t="s">
        <v>130</v>
      </c>
    </row>
    <row r="27" spans="1:16" ht="12.75">
      <c r="A27" s="23">
        <v>67</v>
      </c>
      <c r="B27" s="55" t="s">
        <v>48</v>
      </c>
      <c r="C27" s="55" t="s">
        <v>48</v>
      </c>
      <c r="D27" s="55" t="s">
        <v>48</v>
      </c>
      <c r="E27" s="55" t="s">
        <v>48</v>
      </c>
      <c r="F27" s="55" t="s">
        <v>48</v>
      </c>
      <c r="G27" s="55" t="s">
        <v>48</v>
      </c>
      <c r="H27" s="55" t="s">
        <v>48</v>
      </c>
      <c r="I27" s="55" t="s">
        <v>48</v>
      </c>
      <c r="J27" s="56" t="s">
        <v>48</v>
      </c>
      <c r="K27" s="56" t="s">
        <v>48</v>
      </c>
      <c r="L27" s="56" t="s">
        <v>48</v>
      </c>
      <c r="M27" s="56" t="s">
        <v>48</v>
      </c>
      <c r="N27" s="55">
        <v>1.36</v>
      </c>
      <c r="P27" s="56" t="s">
        <v>131</v>
      </c>
    </row>
    <row r="28" spans="1:16" ht="12.75">
      <c r="A28" s="23">
        <v>70</v>
      </c>
      <c r="B28" s="55" t="s">
        <v>48</v>
      </c>
      <c r="C28" s="55" t="s">
        <v>48</v>
      </c>
      <c r="D28" s="55" t="s">
        <v>48</v>
      </c>
      <c r="E28" s="55" t="s">
        <v>48</v>
      </c>
      <c r="F28" s="55" t="s">
        <v>48</v>
      </c>
      <c r="G28" s="55" t="s">
        <v>48</v>
      </c>
      <c r="H28" s="55" t="s">
        <v>48</v>
      </c>
      <c r="I28" s="55" t="s">
        <v>48</v>
      </c>
      <c r="J28" s="56" t="s">
        <v>48</v>
      </c>
      <c r="K28" s="56" t="s">
        <v>48</v>
      </c>
      <c r="L28" s="56" t="s">
        <v>48</v>
      </c>
      <c r="M28" s="56" t="s">
        <v>48</v>
      </c>
      <c r="N28" s="55">
        <v>1.36</v>
      </c>
      <c r="P28" s="56" t="s">
        <v>132</v>
      </c>
    </row>
    <row r="29" spans="2:16" ht="12.75">
      <c r="B29" s="55"/>
      <c r="C29" s="55"/>
      <c r="D29" s="55"/>
      <c r="E29" s="55"/>
      <c r="F29" s="55"/>
      <c r="G29" s="55"/>
      <c r="H29" s="55"/>
      <c r="I29" s="55"/>
      <c r="J29" s="56"/>
      <c r="K29" s="56"/>
      <c r="L29" s="55"/>
      <c r="M29" s="55"/>
      <c r="P29" s="57"/>
    </row>
    <row r="30" ht="12.75"/>
    <row r="31" ht="12.75">
      <c r="A31" s="31" t="s">
        <v>35</v>
      </c>
    </row>
    <row r="32" spans="1:14" ht="12.75">
      <c r="A32" s="33" t="s">
        <v>116</v>
      </c>
      <c r="B32" s="23" t="s">
        <v>30</v>
      </c>
      <c r="C32" s="23" t="s">
        <v>31</v>
      </c>
      <c r="D32" s="23" t="s">
        <v>32</v>
      </c>
      <c r="E32" s="23" t="s">
        <v>33</v>
      </c>
      <c r="F32" s="23" t="s">
        <v>54</v>
      </c>
      <c r="G32" s="23" t="s">
        <v>67</v>
      </c>
      <c r="H32" s="23" t="s">
        <v>69</v>
      </c>
      <c r="I32" s="23" t="s">
        <v>70</v>
      </c>
      <c r="J32" s="23" t="s">
        <v>71</v>
      </c>
      <c r="K32" s="23" t="s">
        <v>110</v>
      </c>
      <c r="L32" s="23" t="s">
        <v>111</v>
      </c>
      <c r="M32" s="33" t="s">
        <v>127</v>
      </c>
      <c r="N32" s="33" t="s">
        <v>128</v>
      </c>
    </row>
    <row r="33" spans="1:14" ht="12.75">
      <c r="A33" s="33">
        <v>-60</v>
      </c>
      <c r="B33" s="59">
        <v>0.03</v>
      </c>
      <c r="C33" s="59">
        <v>0.03</v>
      </c>
      <c r="D33" s="59">
        <v>0.03</v>
      </c>
      <c r="E33" s="59">
        <v>0.03</v>
      </c>
      <c r="F33" s="60">
        <v>0.035</v>
      </c>
      <c r="G33" s="59">
        <v>0.04</v>
      </c>
      <c r="H33" s="60">
        <v>0.035</v>
      </c>
      <c r="I33" s="59">
        <v>0.04</v>
      </c>
      <c r="J33" s="59">
        <v>0.04</v>
      </c>
      <c r="K33" s="59">
        <v>0</v>
      </c>
      <c r="L33" s="59">
        <v>0</v>
      </c>
      <c r="M33" s="59">
        <v>0</v>
      </c>
      <c r="N33" s="59">
        <v>0</v>
      </c>
    </row>
    <row r="34" spans="1:14" ht="12.75">
      <c r="A34" s="33">
        <v>-35</v>
      </c>
      <c r="B34" s="59">
        <v>0.03</v>
      </c>
      <c r="C34" s="59">
        <v>0.03</v>
      </c>
      <c r="D34" s="59">
        <v>0.03</v>
      </c>
      <c r="E34" s="59">
        <v>0.03</v>
      </c>
      <c r="F34" s="60">
        <v>0.035</v>
      </c>
      <c r="G34" s="59">
        <v>0.04</v>
      </c>
      <c r="H34" s="60">
        <v>0.035</v>
      </c>
      <c r="I34" s="59">
        <v>0.04</v>
      </c>
      <c r="J34" s="59">
        <v>0.04</v>
      </c>
      <c r="K34" s="59">
        <v>0</v>
      </c>
      <c r="L34" s="59">
        <v>0</v>
      </c>
      <c r="M34" s="59">
        <v>0</v>
      </c>
      <c r="N34" s="59">
        <v>0</v>
      </c>
    </row>
    <row r="35" spans="1:14" ht="12.75">
      <c r="A35" s="23">
        <v>-1</v>
      </c>
      <c r="B35" s="59">
        <v>0.03</v>
      </c>
      <c r="C35" s="59">
        <v>0.03</v>
      </c>
      <c r="D35" s="59">
        <v>0.03</v>
      </c>
      <c r="E35" s="59">
        <v>0.03</v>
      </c>
      <c r="F35" s="60">
        <v>0.035</v>
      </c>
      <c r="G35" s="59">
        <v>0.04</v>
      </c>
      <c r="H35" s="60">
        <v>0.035</v>
      </c>
      <c r="I35" s="59">
        <v>0.04</v>
      </c>
      <c r="J35" s="59">
        <v>0.04</v>
      </c>
      <c r="K35" s="60">
        <v>0.005</v>
      </c>
      <c r="L35" s="60">
        <v>0.005</v>
      </c>
      <c r="M35" s="60">
        <v>0.005</v>
      </c>
      <c r="N35" s="60">
        <v>0.005</v>
      </c>
    </row>
    <row r="36" spans="1:14" ht="12.75">
      <c r="A36" s="23">
        <v>15</v>
      </c>
      <c r="B36" s="59">
        <v>0.03</v>
      </c>
      <c r="C36" s="59">
        <v>0.03</v>
      </c>
      <c r="D36" s="59">
        <v>0.03</v>
      </c>
      <c r="E36" s="59">
        <v>0.03</v>
      </c>
      <c r="F36" s="60">
        <v>0.035</v>
      </c>
      <c r="G36" s="59">
        <v>0.04</v>
      </c>
      <c r="H36" s="60">
        <v>0.035</v>
      </c>
      <c r="I36" s="59">
        <v>0.04</v>
      </c>
      <c r="J36" s="59">
        <v>0.04</v>
      </c>
      <c r="K36" s="60">
        <v>0.0075</v>
      </c>
      <c r="L36" s="60">
        <v>0.0075</v>
      </c>
      <c r="M36" s="60">
        <v>0.0075</v>
      </c>
      <c r="N36" s="60">
        <v>0.0075</v>
      </c>
    </row>
    <row r="37" spans="1:14" ht="12.75">
      <c r="A37" s="23">
        <v>20</v>
      </c>
      <c r="B37" s="59">
        <v>0.03</v>
      </c>
      <c r="C37" s="59">
        <v>0.03</v>
      </c>
      <c r="D37" s="59">
        <v>0.03</v>
      </c>
      <c r="E37" s="59">
        <v>0.03</v>
      </c>
      <c r="F37" s="60">
        <v>0.035</v>
      </c>
      <c r="G37" s="59">
        <v>0.04</v>
      </c>
      <c r="H37" s="60">
        <v>0.035</v>
      </c>
      <c r="I37" s="59">
        <v>0.04</v>
      </c>
      <c r="J37" s="59">
        <v>0.04</v>
      </c>
      <c r="K37" s="60">
        <v>0.0075</v>
      </c>
      <c r="L37" s="60">
        <v>0.0075</v>
      </c>
      <c r="M37" s="60">
        <v>0.0075</v>
      </c>
      <c r="N37" s="60">
        <v>0.0075</v>
      </c>
    </row>
    <row r="38" ht="12.75"/>
    <row r="39" ht="12.75">
      <c r="B39" s="23" t="s">
        <v>79</v>
      </c>
    </row>
    <row r="40" ht="12.75">
      <c r="B40" s="23" t="s">
        <v>80</v>
      </c>
    </row>
    <row r="41" ht="12.75"/>
    <row r="42" ht="12.75"/>
    <row r="43" spans="1:7" ht="12.75">
      <c r="A43" s="31" t="s">
        <v>77</v>
      </c>
      <c r="B43" s="61" t="s">
        <v>82</v>
      </c>
      <c r="G43" s="62"/>
    </row>
    <row r="44" spans="2:14" ht="12.75">
      <c r="B44" s="23" t="s">
        <v>30</v>
      </c>
      <c r="C44" s="23" t="s">
        <v>31</v>
      </c>
      <c r="D44" s="23" t="s">
        <v>32</v>
      </c>
      <c r="E44" s="23" t="s">
        <v>33</v>
      </c>
      <c r="G44" s="62"/>
      <c r="H44" s="23" t="s">
        <v>54</v>
      </c>
      <c r="I44" s="23" t="s">
        <v>69</v>
      </c>
      <c r="L44" s="23" t="s">
        <v>67</v>
      </c>
      <c r="M44" s="23" t="s">
        <v>70</v>
      </c>
      <c r="N44" s="23" t="s">
        <v>71</v>
      </c>
    </row>
    <row r="45" spans="1:14" ht="12.75">
      <c r="A45" s="23">
        <v>-60</v>
      </c>
      <c r="B45" s="63">
        <v>6E-10</v>
      </c>
      <c r="C45" s="63">
        <v>6E-10</v>
      </c>
      <c r="D45" s="63">
        <v>6E-10</v>
      </c>
      <c r="E45" s="63">
        <v>6E-10</v>
      </c>
      <c r="G45" s="62">
        <v>-30</v>
      </c>
      <c r="H45" s="63">
        <v>8E-07</v>
      </c>
      <c r="I45" s="63">
        <v>8E-07</v>
      </c>
      <c r="K45" s="23">
        <v>-50</v>
      </c>
      <c r="L45" s="63">
        <v>8E-09</v>
      </c>
      <c r="M45" s="63">
        <v>8E-09</v>
      </c>
      <c r="N45" s="63">
        <v>8E-09</v>
      </c>
    </row>
    <row r="46" spans="1:14" ht="12.75">
      <c r="A46" s="23">
        <v>-38</v>
      </c>
      <c r="B46" s="63">
        <v>1.5E-09</v>
      </c>
      <c r="C46" s="63">
        <v>1.5E-09</v>
      </c>
      <c r="D46" s="63">
        <v>1.5E-09</v>
      </c>
      <c r="E46" s="63">
        <v>1.5E-09</v>
      </c>
      <c r="G46" s="62">
        <v>-8</v>
      </c>
      <c r="H46" s="63">
        <v>2E-06</v>
      </c>
      <c r="I46" s="63">
        <v>2E-06</v>
      </c>
      <c r="K46" s="23">
        <v>-28</v>
      </c>
      <c r="L46" s="63">
        <v>2E-08</v>
      </c>
      <c r="M46" s="63">
        <v>2E-08</v>
      </c>
      <c r="N46" s="63">
        <v>2E-08</v>
      </c>
    </row>
    <row r="47" spans="1:14" ht="12.75">
      <c r="A47" s="23">
        <v>-20</v>
      </c>
      <c r="B47" s="63">
        <v>1E-08</v>
      </c>
      <c r="C47" s="63">
        <v>1E-08</v>
      </c>
      <c r="D47" s="63">
        <v>1E-08</v>
      </c>
      <c r="E47" s="63">
        <v>1E-08</v>
      </c>
      <c r="G47" s="62">
        <v>10</v>
      </c>
      <c r="H47" s="63">
        <v>1E-05</v>
      </c>
      <c r="I47" s="63">
        <v>1E-05</v>
      </c>
      <c r="K47" s="23">
        <v>-10</v>
      </c>
      <c r="L47" s="63">
        <v>1E-07</v>
      </c>
      <c r="M47" s="63">
        <v>1E-07</v>
      </c>
      <c r="N47" s="63">
        <v>1E-07</v>
      </c>
    </row>
    <row r="48" spans="1:14" ht="12.75">
      <c r="A48" s="64">
        <v>-7.5</v>
      </c>
      <c r="B48" s="63">
        <v>5E-07</v>
      </c>
      <c r="C48" s="63">
        <v>5E-07</v>
      </c>
      <c r="D48" s="63">
        <v>5E-07</v>
      </c>
      <c r="E48" s="63">
        <v>5E-07</v>
      </c>
      <c r="G48" s="62">
        <v>19</v>
      </c>
      <c r="H48" s="63">
        <v>0.001</v>
      </c>
      <c r="I48" s="63">
        <v>0.001</v>
      </c>
      <c r="K48" s="23">
        <v>-1</v>
      </c>
      <c r="L48" s="63">
        <v>2E-05</v>
      </c>
      <c r="M48" s="63">
        <v>2E-05</v>
      </c>
      <c r="N48" s="63">
        <v>2E-05</v>
      </c>
    </row>
    <row r="49" spans="1:14" ht="12.75">
      <c r="A49" s="64">
        <v>-4</v>
      </c>
      <c r="B49" s="63">
        <v>1E-06</v>
      </c>
      <c r="C49" s="63">
        <v>1E-06</v>
      </c>
      <c r="D49" s="63">
        <v>1E-06</v>
      </c>
      <c r="E49" s="63">
        <v>1E-06</v>
      </c>
      <c r="G49" s="62">
        <v>23</v>
      </c>
      <c r="H49" s="63">
        <v>0.002</v>
      </c>
      <c r="I49" s="63">
        <v>0.002</v>
      </c>
      <c r="K49" s="23">
        <v>3</v>
      </c>
      <c r="L49" s="63">
        <v>3E-05</v>
      </c>
      <c r="M49" s="63">
        <v>3E-05</v>
      </c>
      <c r="N49" s="63">
        <v>3E-05</v>
      </c>
    </row>
    <row r="50" spans="1:14" ht="12.75">
      <c r="A50" s="23">
        <v>10</v>
      </c>
      <c r="B50" s="63">
        <v>5E-06</v>
      </c>
      <c r="C50" s="63">
        <v>5E-06</v>
      </c>
      <c r="D50" s="63">
        <v>5E-06</v>
      </c>
      <c r="E50" s="63">
        <v>5E-06</v>
      </c>
      <c r="G50" s="62">
        <v>44</v>
      </c>
      <c r="H50" s="63">
        <v>0.002</v>
      </c>
      <c r="I50" s="63">
        <v>0.002</v>
      </c>
      <c r="K50" s="23">
        <v>20</v>
      </c>
      <c r="L50" s="63">
        <v>6E-05</v>
      </c>
      <c r="M50" s="63">
        <v>6E-05</v>
      </c>
      <c r="N50" s="63">
        <v>6E-05</v>
      </c>
    </row>
    <row r="51" spans="1:14" ht="12.75">
      <c r="A51" s="23">
        <v>20</v>
      </c>
      <c r="B51" s="63">
        <v>5E-06</v>
      </c>
      <c r="C51" s="63">
        <v>5E-06</v>
      </c>
      <c r="D51" s="63">
        <v>5E-06</v>
      </c>
      <c r="E51" s="63">
        <v>5E-06</v>
      </c>
      <c r="G51" s="62"/>
      <c r="K51" s="23">
        <v>30</v>
      </c>
      <c r="L51" s="63">
        <v>6E-05</v>
      </c>
      <c r="M51" s="63">
        <v>6E-05</v>
      </c>
      <c r="N51" s="63">
        <v>6E-05</v>
      </c>
    </row>
    <row r="52" spans="2:7" ht="12.75">
      <c r="B52" s="63"/>
      <c r="C52" s="63"/>
      <c r="D52" s="63"/>
      <c r="E52" s="63"/>
      <c r="G52" s="62"/>
    </row>
    <row r="53" spans="1:14" ht="12.75">
      <c r="A53" s="31" t="s">
        <v>78</v>
      </c>
      <c r="B53" s="23" t="s">
        <v>30</v>
      </c>
      <c r="C53" s="23" t="s">
        <v>31</v>
      </c>
      <c r="D53" s="23" t="s">
        <v>32</v>
      </c>
      <c r="E53" s="23" t="s">
        <v>33</v>
      </c>
      <c r="G53" s="62"/>
      <c r="H53" s="23" t="s">
        <v>54</v>
      </c>
      <c r="I53" s="23" t="s">
        <v>69</v>
      </c>
      <c r="L53" s="23" t="s">
        <v>67</v>
      </c>
      <c r="M53" s="23" t="s">
        <v>70</v>
      </c>
      <c r="N53" s="23" t="s">
        <v>71</v>
      </c>
    </row>
    <row r="54" spans="1:14" ht="12.75">
      <c r="A54" s="23">
        <v>-60</v>
      </c>
      <c r="B54" s="63">
        <v>1.5E-09</v>
      </c>
      <c r="C54" s="63">
        <v>1.5E-09</v>
      </c>
      <c r="D54" s="63">
        <v>1.5E-09</v>
      </c>
      <c r="E54" s="63">
        <v>2.8E-09</v>
      </c>
      <c r="G54" s="62">
        <v>-30</v>
      </c>
      <c r="H54" s="63">
        <v>1.8E-06</v>
      </c>
      <c r="I54" s="63">
        <v>1.8E-06</v>
      </c>
      <c r="K54" s="23">
        <v>-50</v>
      </c>
      <c r="L54" s="63">
        <v>1.5E-09</v>
      </c>
      <c r="M54" s="63">
        <v>1.5E-09</v>
      </c>
      <c r="N54" s="63">
        <v>1.5E-09</v>
      </c>
    </row>
    <row r="55" spans="1:14" ht="12.75">
      <c r="A55" s="23">
        <v>-38</v>
      </c>
      <c r="B55" s="63">
        <v>2E-09</v>
      </c>
      <c r="C55" s="63">
        <v>2E-09</v>
      </c>
      <c r="D55" s="63">
        <v>2E-09</v>
      </c>
      <c r="E55" s="63">
        <v>3E-09</v>
      </c>
      <c r="G55" s="62">
        <v>-8</v>
      </c>
      <c r="H55" s="63">
        <v>2E-06</v>
      </c>
      <c r="I55" s="63">
        <v>2E-06</v>
      </c>
      <c r="K55" s="23">
        <v>-28</v>
      </c>
      <c r="L55" s="63">
        <v>2E-08</v>
      </c>
      <c r="M55" s="63">
        <v>2E-08</v>
      </c>
      <c r="N55" s="63">
        <v>2E-08</v>
      </c>
    </row>
    <row r="56" spans="1:14" ht="12.75">
      <c r="A56" s="23">
        <v>-20</v>
      </c>
      <c r="B56" s="63">
        <v>1.2E-08</v>
      </c>
      <c r="C56" s="63">
        <v>1.2E-08</v>
      </c>
      <c r="D56" s="63">
        <v>1.2E-08</v>
      </c>
      <c r="E56" s="63">
        <v>1.2E-08</v>
      </c>
      <c r="G56" s="62">
        <v>10</v>
      </c>
      <c r="H56" s="63">
        <v>1.2E-05</v>
      </c>
      <c r="I56" s="63">
        <v>1.2E-05</v>
      </c>
      <c r="K56" s="23">
        <v>-10</v>
      </c>
      <c r="L56" s="63">
        <v>1.2E-07</v>
      </c>
      <c r="M56" s="63">
        <v>1.2E-07</v>
      </c>
      <c r="N56" s="63">
        <v>1.2E-07</v>
      </c>
    </row>
    <row r="57" spans="1:14" ht="12.75">
      <c r="A57" s="64">
        <v>-7.5</v>
      </c>
      <c r="B57" s="63">
        <v>2E-06</v>
      </c>
      <c r="C57" s="63">
        <v>2E-06</v>
      </c>
      <c r="D57" s="63">
        <v>2E-06</v>
      </c>
      <c r="E57" s="63">
        <v>2E-06</v>
      </c>
      <c r="G57" s="62">
        <v>19</v>
      </c>
      <c r="H57" s="63">
        <v>0.002</v>
      </c>
      <c r="I57" s="63">
        <v>0.002</v>
      </c>
      <c r="K57" s="23">
        <v>-1</v>
      </c>
      <c r="L57" s="63">
        <v>2E-05</v>
      </c>
      <c r="M57" s="63">
        <v>2E-05</v>
      </c>
      <c r="N57" s="63">
        <v>2E-05</v>
      </c>
    </row>
    <row r="58" spans="1:14" ht="12.75">
      <c r="A58" s="64">
        <v>-4</v>
      </c>
      <c r="B58" s="63">
        <v>4E-06</v>
      </c>
      <c r="C58" s="63">
        <v>4E-06</v>
      </c>
      <c r="D58" s="63">
        <v>4E-06</v>
      </c>
      <c r="E58" s="63">
        <v>4E-06</v>
      </c>
      <c r="G58" s="62">
        <v>23</v>
      </c>
      <c r="H58" s="63">
        <v>0.004</v>
      </c>
      <c r="I58" s="63">
        <v>0.004</v>
      </c>
      <c r="K58" s="23">
        <v>3</v>
      </c>
      <c r="L58" s="63">
        <v>4E-05</v>
      </c>
      <c r="M58" s="63">
        <v>4E-05</v>
      </c>
      <c r="N58" s="63">
        <v>4E-05</v>
      </c>
    </row>
    <row r="59" spans="1:14" ht="12.75">
      <c r="A59" s="23">
        <v>10</v>
      </c>
      <c r="B59" s="63">
        <v>6E-06</v>
      </c>
      <c r="C59" s="63">
        <v>6E-06</v>
      </c>
      <c r="D59" s="63">
        <v>6E-06</v>
      </c>
      <c r="E59" s="63">
        <v>6E-06</v>
      </c>
      <c r="G59" s="62">
        <v>44</v>
      </c>
      <c r="H59" s="63">
        <v>0.004</v>
      </c>
      <c r="I59" s="63">
        <v>0.004</v>
      </c>
      <c r="K59" s="23">
        <v>20</v>
      </c>
      <c r="L59" s="63">
        <v>6E-05</v>
      </c>
      <c r="M59" s="63">
        <v>6E-05</v>
      </c>
      <c r="N59" s="63">
        <v>6E-05</v>
      </c>
    </row>
    <row r="60" spans="1:14" ht="12.75">
      <c r="A60" s="23">
        <v>20</v>
      </c>
      <c r="B60" s="63">
        <v>6E-06</v>
      </c>
      <c r="C60" s="63">
        <v>6E-06</v>
      </c>
      <c r="D60" s="63">
        <v>6E-06</v>
      </c>
      <c r="E60" s="63">
        <v>6E-06</v>
      </c>
      <c r="G60" s="62"/>
      <c r="K60" s="23">
        <v>30</v>
      </c>
      <c r="L60" s="63">
        <v>6E-05</v>
      </c>
      <c r="M60" s="63">
        <v>6E-05</v>
      </c>
      <c r="N60" s="63">
        <v>6E-05</v>
      </c>
    </row>
    <row r="61" spans="2:7" ht="12.75">
      <c r="B61" s="63"/>
      <c r="C61" s="63"/>
      <c r="D61" s="63"/>
      <c r="E61" s="63"/>
      <c r="G61" s="62"/>
    </row>
    <row r="62" spans="1:14" ht="12.75">
      <c r="A62" s="31" t="s">
        <v>37</v>
      </c>
      <c r="B62" s="23" t="s">
        <v>30</v>
      </c>
      <c r="C62" s="23" t="s">
        <v>31</v>
      </c>
      <c r="D62" s="23" t="s">
        <v>32</v>
      </c>
      <c r="E62" s="23" t="s">
        <v>33</v>
      </c>
      <c r="G62" s="62"/>
      <c r="H62" s="23" t="s">
        <v>54</v>
      </c>
      <c r="I62" s="23" t="s">
        <v>69</v>
      </c>
      <c r="L62" s="23" t="s">
        <v>67</v>
      </c>
      <c r="M62" s="23" t="s">
        <v>70</v>
      </c>
      <c r="N62" s="23" t="s">
        <v>71</v>
      </c>
    </row>
    <row r="63" spans="1:14" ht="12.75">
      <c r="A63" s="23">
        <v>-60</v>
      </c>
      <c r="B63" s="63">
        <v>2E-10</v>
      </c>
      <c r="C63" s="63">
        <v>2E-10</v>
      </c>
      <c r="D63" s="63">
        <v>2E-10</v>
      </c>
      <c r="E63" s="63">
        <v>2E-10</v>
      </c>
      <c r="G63" s="62">
        <v>-30</v>
      </c>
      <c r="H63" s="63">
        <v>2E-07</v>
      </c>
      <c r="I63" s="63">
        <v>2E-07</v>
      </c>
      <c r="K63" s="23">
        <v>-50</v>
      </c>
      <c r="L63" s="63">
        <v>2E-09</v>
      </c>
      <c r="M63" s="63">
        <v>2E-09</v>
      </c>
      <c r="N63" s="63">
        <v>2E-09</v>
      </c>
    </row>
    <row r="64" spans="1:14" ht="12.75">
      <c r="A64" s="23">
        <v>-38</v>
      </c>
      <c r="B64" s="63">
        <v>4E-10</v>
      </c>
      <c r="C64" s="63">
        <v>4E-10</v>
      </c>
      <c r="D64" s="63">
        <v>4E-10</v>
      </c>
      <c r="E64" s="63">
        <v>4E-10</v>
      </c>
      <c r="G64" s="62">
        <v>-8</v>
      </c>
      <c r="H64" s="63">
        <v>4E-07</v>
      </c>
      <c r="I64" s="63">
        <v>4E-07</v>
      </c>
      <c r="K64" s="23">
        <v>-28</v>
      </c>
      <c r="L64" s="63">
        <v>4E-09</v>
      </c>
      <c r="M64" s="63">
        <v>4E-09</v>
      </c>
      <c r="N64" s="63">
        <v>4E-09</v>
      </c>
    </row>
    <row r="65" spans="1:14" ht="12.75">
      <c r="A65" s="23">
        <v>-20</v>
      </c>
      <c r="B65" s="63">
        <v>1.5E-09</v>
      </c>
      <c r="C65" s="63">
        <v>1.5E-09</v>
      </c>
      <c r="D65" s="63">
        <v>1.5E-09</v>
      </c>
      <c r="E65" s="63">
        <v>1.5E-09</v>
      </c>
      <c r="G65" s="62">
        <v>10</v>
      </c>
      <c r="H65" s="63">
        <v>1.5E-06</v>
      </c>
      <c r="I65" s="63">
        <v>1.5E-06</v>
      </c>
      <c r="K65" s="23">
        <v>-10</v>
      </c>
      <c r="L65" s="63">
        <v>1.5E-08</v>
      </c>
      <c r="M65" s="63">
        <v>1.5E-08</v>
      </c>
      <c r="N65" s="63">
        <v>1.5E-08</v>
      </c>
    </row>
    <row r="66" spans="1:14" ht="12.75">
      <c r="A66" s="64">
        <v>-7.5</v>
      </c>
      <c r="B66" s="63">
        <v>5E-08</v>
      </c>
      <c r="C66" s="63">
        <v>5E-08</v>
      </c>
      <c r="D66" s="63">
        <v>5E-08</v>
      </c>
      <c r="E66" s="63">
        <v>5E-08</v>
      </c>
      <c r="G66" s="62">
        <v>19</v>
      </c>
      <c r="H66" s="63">
        <v>5E-08</v>
      </c>
      <c r="I66" s="63">
        <v>5E-08</v>
      </c>
      <c r="K66" s="23">
        <v>-1</v>
      </c>
      <c r="L66" s="63">
        <v>5E-07</v>
      </c>
      <c r="M66" s="63">
        <v>5E-07</v>
      </c>
      <c r="N66" s="63">
        <v>5E-07</v>
      </c>
    </row>
    <row r="67" spans="1:14" ht="12.75">
      <c r="A67" s="64">
        <v>-4</v>
      </c>
      <c r="B67" s="63">
        <v>5E-07</v>
      </c>
      <c r="C67" s="63">
        <v>5E-07</v>
      </c>
      <c r="D67" s="63">
        <v>5E-07</v>
      </c>
      <c r="E67" s="63">
        <v>5E-07</v>
      </c>
      <c r="G67" s="62">
        <v>23</v>
      </c>
      <c r="H67" s="63">
        <v>0.0005</v>
      </c>
      <c r="I67" s="63">
        <v>0.0005</v>
      </c>
      <c r="K67" s="23">
        <v>3</v>
      </c>
      <c r="L67" s="63">
        <v>5E-06</v>
      </c>
      <c r="M67" s="63">
        <v>5E-06</v>
      </c>
      <c r="N67" s="63">
        <v>5E-06</v>
      </c>
    </row>
    <row r="68" spans="1:14" ht="12.75">
      <c r="A68" s="23">
        <v>10</v>
      </c>
      <c r="B68" s="63">
        <v>2E-06</v>
      </c>
      <c r="C68" s="63">
        <v>2E-06</v>
      </c>
      <c r="D68" s="63">
        <v>2E-06</v>
      </c>
      <c r="E68" s="63">
        <v>2E-06</v>
      </c>
      <c r="G68" s="62">
        <v>44</v>
      </c>
      <c r="H68" s="63">
        <v>0.0005</v>
      </c>
      <c r="I68" s="63">
        <v>0.0005</v>
      </c>
      <c r="K68" s="23">
        <v>20</v>
      </c>
      <c r="L68" s="63">
        <v>2E-05</v>
      </c>
      <c r="M68" s="63">
        <v>2E-05</v>
      </c>
      <c r="N68" s="63">
        <v>2E-05</v>
      </c>
    </row>
    <row r="69" spans="1:14" ht="12.75">
      <c r="A69" s="23">
        <v>20</v>
      </c>
      <c r="B69" s="63">
        <v>2E-06</v>
      </c>
      <c r="C69" s="63">
        <v>2E-06</v>
      </c>
      <c r="D69" s="63">
        <v>2E-06</v>
      </c>
      <c r="E69" s="63">
        <v>2E-06</v>
      </c>
      <c r="G69" s="62"/>
      <c r="K69" s="23">
        <v>30</v>
      </c>
      <c r="L69" s="63">
        <v>2E-05</v>
      </c>
      <c r="M69" s="63">
        <v>2E-05</v>
      </c>
      <c r="N69" s="63">
        <v>2E-05</v>
      </c>
    </row>
    <row r="70" spans="2:7" ht="12.75">
      <c r="B70" s="63"/>
      <c r="C70" s="63"/>
      <c r="D70" s="63"/>
      <c r="E70" s="63"/>
      <c r="G70" s="62"/>
    </row>
    <row r="71" spans="1:14" ht="12.75">
      <c r="A71" s="31" t="s">
        <v>44</v>
      </c>
      <c r="B71" s="23" t="s">
        <v>30</v>
      </c>
      <c r="C71" s="23" t="s">
        <v>31</v>
      </c>
      <c r="D71" s="23" t="s">
        <v>32</v>
      </c>
      <c r="E71" s="23" t="s">
        <v>33</v>
      </c>
      <c r="G71" s="62"/>
      <c r="H71" s="23" t="s">
        <v>54</v>
      </c>
      <c r="I71" s="23" t="s">
        <v>69</v>
      </c>
      <c r="L71" s="23" t="s">
        <v>67</v>
      </c>
      <c r="M71" s="23" t="s">
        <v>70</v>
      </c>
      <c r="N71" s="23" t="s">
        <v>71</v>
      </c>
    </row>
    <row r="72" spans="1:14" ht="12.75">
      <c r="A72" s="23">
        <v>-60</v>
      </c>
      <c r="B72" s="63">
        <v>1E-09</v>
      </c>
      <c r="C72" s="63">
        <v>1E-09</v>
      </c>
      <c r="D72" s="63">
        <v>1E-09</v>
      </c>
      <c r="E72" s="63">
        <v>1E-09</v>
      </c>
      <c r="G72" s="62">
        <v>-30</v>
      </c>
      <c r="H72" s="63">
        <v>1E-06</v>
      </c>
      <c r="I72" s="63">
        <v>1E-06</v>
      </c>
      <c r="K72" s="23">
        <v>-50</v>
      </c>
      <c r="L72" s="63">
        <v>1E-08</v>
      </c>
      <c r="M72" s="63">
        <v>1E-08</v>
      </c>
      <c r="N72" s="63">
        <v>1E-08</v>
      </c>
    </row>
    <row r="73" spans="1:14" ht="12.75">
      <c r="A73" s="23">
        <v>-38</v>
      </c>
      <c r="B73" s="63">
        <v>1.5E-09</v>
      </c>
      <c r="C73" s="63">
        <v>1.5E-09</v>
      </c>
      <c r="D73" s="63">
        <v>1.5E-09</v>
      </c>
      <c r="E73" s="63">
        <v>1.5E-09</v>
      </c>
      <c r="G73" s="62">
        <v>-8</v>
      </c>
      <c r="H73" s="63">
        <v>1.5E-06</v>
      </c>
      <c r="I73" s="63">
        <v>1.5E-06</v>
      </c>
      <c r="K73" s="23">
        <v>-28</v>
      </c>
      <c r="L73" s="63">
        <v>1.5E-08</v>
      </c>
      <c r="M73" s="63">
        <v>1.5E-08</v>
      </c>
      <c r="N73" s="63">
        <v>1.5E-08</v>
      </c>
    </row>
    <row r="74" spans="1:14" ht="12.75">
      <c r="A74" s="23">
        <v>-20</v>
      </c>
      <c r="B74" s="63">
        <v>1.5E-08</v>
      </c>
      <c r="C74" s="63">
        <v>1.5E-08</v>
      </c>
      <c r="D74" s="63">
        <v>1.5E-08</v>
      </c>
      <c r="E74" s="63">
        <v>1.5E-08</v>
      </c>
      <c r="G74" s="62">
        <v>10</v>
      </c>
      <c r="H74" s="63">
        <v>1.5E-05</v>
      </c>
      <c r="I74" s="63">
        <v>1.5E-05</v>
      </c>
      <c r="K74" s="23">
        <v>-10</v>
      </c>
      <c r="L74" s="63">
        <v>1.5E-07</v>
      </c>
      <c r="M74" s="63">
        <v>1.5E-07</v>
      </c>
      <c r="N74" s="63">
        <v>1.5E-07</v>
      </c>
    </row>
    <row r="75" spans="1:14" ht="12.75">
      <c r="A75" s="64">
        <v>-7.5</v>
      </c>
      <c r="B75" s="63">
        <v>6.5E-07</v>
      </c>
      <c r="C75" s="63">
        <v>6.5E-07</v>
      </c>
      <c r="D75" s="63">
        <v>6.5E-07</v>
      </c>
      <c r="E75" s="63">
        <v>6.5E-07</v>
      </c>
      <c r="G75" s="62">
        <v>19</v>
      </c>
      <c r="H75" s="63">
        <v>0.00065</v>
      </c>
      <c r="I75" s="63">
        <v>0.00065</v>
      </c>
      <c r="K75" s="23">
        <v>-1</v>
      </c>
      <c r="L75" s="63">
        <v>6.5E-06</v>
      </c>
      <c r="M75" s="63">
        <v>6.5E-06</v>
      </c>
      <c r="N75" s="63">
        <v>6.5E-06</v>
      </c>
    </row>
    <row r="76" spans="1:14" ht="12.75">
      <c r="A76" s="64">
        <v>-4</v>
      </c>
      <c r="B76" s="63">
        <v>1E-06</v>
      </c>
      <c r="C76" s="63">
        <v>1E-06</v>
      </c>
      <c r="D76" s="63">
        <v>1E-06</v>
      </c>
      <c r="E76" s="63">
        <v>1E-06</v>
      </c>
      <c r="G76" s="62">
        <v>23</v>
      </c>
      <c r="H76" s="63">
        <v>0.001</v>
      </c>
      <c r="I76" s="63">
        <v>0.001</v>
      </c>
      <c r="K76" s="23">
        <v>3</v>
      </c>
      <c r="L76" s="63">
        <v>1E-05</v>
      </c>
      <c r="M76" s="63">
        <v>1E-05</v>
      </c>
      <c r="N76" s="63">
        <v>1E-05</v>
      </c>
    </row>
    <row r="77" spans="1:14" ht="12.75">
      <c r="A77" s="23">
        <v>10</v>
      </c>
      <c r="B77" s="63">
        <v>1E-05</v>
      </c>
      <c r="C77" s="63">
        <v>1E-05</v>
      </c>
      <c r="D77" s="63">
        <v>1E-05</v>
      </c>
      <c r="E77" s="63">
        <v>1E-05</v>
      </c>
      <c r="G77" s="62">
        <v>44</v>
      </c>
      <c r="H77" s="63">
        <v>0.001</v>
      </c>
      <c r="I77" s="63">
        <v>0.001</v>
      </c>
      <c r="K77" s="23">
        <v>20</v>
      </c>
      <c r="L77" s="63">
        <v>0.0001</v>
      </c>
      <c r="M77" s="63">
        <v>0.0001</v>
      </c>
      <c r="N77" s="63">
        <v>0.0001</v>
      </c>
    </row>
    <row r="78" spans="1:14" ht="12.75">
      <c r="A78" s="23">
        <v>20</v>
      </c>
      <c r="B78" s="63">
        <v>1E-05</v>
      </c>
      <c r="C78" s="63">
        <v>1E-05</v>
      </c>
      <c r="D78" s="63">
        <v>1E-05</v>
      </c>
      <c r="E78" s="63">
        <v>1E-05</v>
      </c>
      <c r="G78" s="62"/>
      <c r="K78" s="23">
        <v>30</v>
      </c>
      <c r="L78" s="63">
        <v>0.0001</v>
      </c>
      <c r="M78" s="63">
        <v>0.0001</v>
      </c>
      <c r="N78" s="63">
        <v>0.0001</v>
      </c>
    </row>
    <row r="79" ht="12.75"/>
    <row r="80" spans="1:3" ht="12.75">
      <c r="A80" s="23" t="s">
        <v>49</v>
      </c>
      <c r="B80" s="23" t="s">
        <v>50</v>
      </c>
      <c r="C80" s="33" t="s">
        <v>120</v>
      </c>
    </row>
    <row r="81" ht="12.75"/>
    <row r="82" spans="1:11" ht="12.75">
      <c r="A82" s="31" t="s">
        <v>38</v>
      </c>
      <c r="B82" s="33" t="s">
        <v>118</v>
      </c>
      <c r="C82" s="33"/>
      <c r="G82" s="33" t="s">
        <v>118</v>
      </c>
      <c r="H82" s="33"/>
      <c r="K82" s="33"/>
    </row>
    <row r="83" spans="1:11" ht="12.75">
      <c r="A83" s="55" t="s">
        <v>39</v>
      </c>
      <c r="B83" s="55" t="s">
        <v>49</v>
      </c>
      <c r="C83" s="56"/>
      <c r="F83" s="55" t="s">
        <v>39</v>
      </c>
      <c r="G83" s="55" t="s">
        <v>50</v>
      </c>
      <c r="H83" s="57"/>
      <c r="J83" s="55"/>
      <c r="K83" s="57"/>
    </row>
    <row r="84" spans="1:11" ht="12.75">
      <c r="A84" s="55">
        <v>1</v>
      </c>
      <c r="B84" s="55">
        <v>2</v>
      </c>
      <c r="C84" s="55"/>
      <c r="F84" s="55">
        <v>1</v>
      </c>
      <c r="G84" s="55">
        <v>2.7</v>
      </c>
      <c r="H84" s="55"/>
      <c r="J84" s="55"/>
      <c r="K84" s="55"/>
    </row>
    <row r="85" spans="1:11" ht="12.75">
      <c r="A85" s="55">
        <v>2</v>
      </c>
      <c r="B85" s="55">
        <v>1.8</v>
      </c>
      <c r="C85" s="55"/>
      <c r="F85" s="55">
        <v>2</v>
      </c>
      <c r="G85" s="55">
        <v>2.4</v>
      </c>
      <c r="H85" s="55"/>
      <c r="J85" s="55"/>
      <c r="K85" s="55"/>
    </row>
    <row r="86" spans="1:11" ht="12.75">
      <c r="A86" s="55">
        <v>4</v>
      </c>
      <c r="B86" s="55">
        <v>1.7</v>
      </c>
      <c r="C86" s="55"/>
      <c r="F86" s="55">
        <v>4</v>
      </c>
      <c r="G86" s="55">
        <v>2</v>
      </c>
      <c r="H86" s="55"/>
      <c r="J86" s="55"/>
      <c r="K86" s="55"/>
    </row>
    <row r="87" spans="1:11" ht="12.75">
      <c r="A87" s="55">
        <v>8</v>
      </c>
      <c r="B87" s="55">
        <v>1.5</v>
      </c>
      <c r="C87" s="55"/>
      <c r="F87" s="55">
        <v>8</v>
      </c>
      <c r="G87" s="55">
        <v>1.6</v>
      </c>
      <c r="H87" s="55"/>
      <c r="J87" s="55"/>
      <c r="K87" s="55"/>
    </row>
    <row r="88" spans="1:11" ht="12.75">
      <c r="A88" s="55">
        <v>16</v>
      </c>
      <c r="B88" s="55">
        <v>1</v>
      </c>
      <c r="C88" s="55"/>
      <c r="F88" s="55">
        <v>16</v>
      </c>
      <c r="G88" s="55">
        <v>1</v>
      </c>
      <c r="H88" s="55"/>
      <c r="J88" s="55"/>
      <c r="K88" s="55"/>
    </row>
    <row r="89" spans="1:11" ht="12.75">
      <c r="A89" s="55">
        <v>32</v>
      </c>
      <c r="B89" s="55">
        <v>0.95</v>
      </c>
      <c r="C89" s="55"/>
      <c r="F89" s="55">
        <v>32</v>
      </c>
      <c r="G89" s="55">
        <v>0.91</v>
      </c>
      <c r="H89" s="55"/>
      <c r="J89" s="55"/>
      <c r="K89" s="55"/>
    </row>
    <row r="90" spans="1:11" ht="12.75">
      <c r="A90" s="55">
        <v>64</v>
      </c>
      <c r="B90" s="55">
        <v>0.74</v>
      </c>
      <c r="C90" s="55"/>
      <c r="F90" s="55">
        <v>64</v>
      </c>
      <c r="G90" s="55">
        <v>0.78</v>
      </c>
      <c r="H90" s="55"/>
      <c r="J90" s="55"/>
      <c r="K90" s="55"/>
    </row>
    <row r="91" spans="1:11" ht="12.75">
      <c r="A91" s="55">
        <v>128</v>
      </c>
      <c r="B91" s="55">
        <v>0.55</v>
      </c>
      <c r="C91" s="55"/>
      <c r="F91" s="55">
        <v>128</v>
      </c>
      <c r="G91" s="55">
        <v>0.53</v>
      </c>
      <c r="H91" s="55"/>
      <c r="J91" s="55"/>
      <c r="K91" s="55"/>
    </row>
    <row r="92" spans="1:11" ht="12.75">
      <c r="A92" s="55">
        <v>256</v>
      </c>
      <c r="B92" s="55">
        <v>0.39</v>
      </c>
      <c r="C92" s="55"/>
      <c r="F92" s="55">
        <v>256</v>
      </c>
      <c r="G92" s="55">
        <v>0.34</v>
      </c>
      <c r="H92" s="55"/>
      <c r="J92" s="55"/>
      <c r="K92" s="55"/>
    </row>
    <row r="93" spans="1:11" ht="12.75">
      <c r="A93" s="55">
        <v>512</v>
      </c>
      <c r="B93" s="55">
        <v>0.29</v>
      </c>
      <c r="C93" s="55"/>
      <c r="F93" s="55">
        <v>512</v>
      </c>
      <c r="G93" s="55">
        <v>0.29</v>
      </c>
      <c r="H93" s="55"/>
      <c r="J93" s="55"/>
      <c r="K93" s="55"/>
    </row>
    <row r="94" spans="1:11" ht="12.75">
      <c r="A94" s="55">
        <v>1024</v>
      </c>
      <c r="B94" s="55">
        <v>0.21</v>
      </c>
      <c r="C94" s="55"/>
      <c r="F94" s="55">
        <v>1024</v>
      </c>
      <c r="G94" s="55">
        <v>0.2</v>
      </c>
      <c r="H94" s="55"/>
      <c r="J94" s="55"/>
      <c r="K94" s="55"/>
    </row>
    <row r="95" ht="12.75"/>
    <row r="96" spans="1:2" ht="12.75">
      <c r="A96" s="33" t="s">
        <v>121</v>
      </c>
      <c r="B96" s="23">
        <f>IF(calculator!B9="Normal",VLOOKUP(calculator!B8,Data!A84:B94,2,TRUE),VLOOKUP(calculator!B8,Data!F84:G94,2,TRUE))</f>
        <v>1</v>
      </c>
    </row>
    <row r="97" ht="12.75"/>
    <row r="98" ht="12.75"/>
    <row r="99" ht="12.75"/>
    <row r="100" ht="12.75"/>
    <row r="101" ht="12.75"/>
    <row r="102" spans="1:8" ht="12.75">
      <c r="A102" s="31" t="s">
        <v>72</v>
      </c>
      <c r="G102" s="31"/>
      <c r="H102" s="31"/>
    </row>
    <row r="103" spans="1:14" ht="12.75">
      <c r="A103" s="23" t="s">
        <v>0</v>
      </c>
      <c r="B103" s="23" t="s">
        <v>30</v>
      </c>
      <c r="C103" s="23" t="s">
        <v>31</v>
      </c>
      <c r="D103" s="23" t="s">
        <v>32</v>
      </c>
      <c r="E103" s="23" t="s">
        <v>33</v>
      </c>
      <c r="F103" s="23" t="s">
        <v>54</v>
      </c>
      <c r="G103" s="23" t="s">
        <v>67</v>
      </c>
      <c r="H103" s="23" t="s">
        <v>69</v>
      </c>
      <c r="I103" s="23" t="s">
        <v>70</v>
      </c>
      <c r="J103" s="23" t="s">
        <v>71</v>
      </c>
      <c r="K103" s="33" t="s">
        <v>110</v>
      </c>
      <c r="L103" s="33" t="s">
        <v>111</v>
      </c>
      <c r="M103" s="33" t="s">
        <v>127</v>
      </c>
      <c r="N103" s="33" t="s">
        <v>128</v>
      </c>
    </row>
    <row r="104" spans="1:14" ht="12.75">
      <c r="A104" s="33" t="s">
        <v>112</v>
      </c>
      <c r="B104" s="23" t="s">
        <v>48</v>
      </c>
      <c r="C104" s="23" t="s">
        <v>48</v>
      </c>
      <c r="D104" s="23" t="s">
        <v>48</v>
      </c>
      <c r="E104" s="33" t="s">
        <v>48</v>
      </c>
      <c r="F104" s="23" t="s">
        <v>48</v>
      </c>
      <c r="G104" s="23" t="s">
        <v>48</v>
      </c>
      <c r="H104" s="23" t="s">
        <v>48</v>
      </c>
      <c r="I104" s="23" t="s">
        <v>48</v>
      </c>
      <c r="J104" s="23" t="s">
        <v>48</v>
      </c>
      <c r="K104" s="60">
        <v>0.0263</v>
      </c>
      <c r="L104" s="60">
        <v>0.0237</v>
      </c>
      <c r="M104" s="65" t="s">
        <v>48</v>
      </c>
      <c r="N104" s="56" t="s">
        <v>48</v>
      </c>
    </row>
    <row r="105" spans="1:14" ht="12.75">
      <c r="A105" s="23">
        <v>1E-13</v>
      </c>
      <c r="B105" s="23" t="s">
        <v>48</v>
      </c>
      <c r="C105" s="23" t="s">
        <v>48</v>
      </c>
      <c r="D105" s="23" t="s">
        <v>48</v>
      </c>
      <c r="E105" s="33" t="s">
        <v>48</v>
      </c>
      <c r="F105" s="23" t="s">
        <v>48</v>
      </c>
      <c r="G105" s="23" t="s">
        <v>48</v>
      </c>
      <c r="H105" s="23" t="s">
        <v>48</v>
      </c>
      <c r="I105" s="23" t="s">
        <v>48</v>
      </c>
      <c r="J105" s="23" t="s">
        <v>48</v>
      </c>
      <c r="K105" s="60">
        <v>0.0263</v>
      </c>
      <c r="L105" s="60">
        <v>0.0237</v>
      </c>
      <c r="M105" s="65" t="s">
        <v>48</v>
      </c>
      <c r="N105" s="56" t="s">
        <v>48</v>
      </c>
    </row>
    <row r="106" spans="1:15" ht="12.75">
      <c r="A106" s="23">
        <v>9E-06</v>
      </c>
      <c r="B106" s="23" t="s">
        <v>48</v>
      </c>
      <c r="C106" s="23" t="s">
        <v>48</v>
      </c>
      <c r="D106" s="23" t="s">
        <v>48</v>
      </c>
      <c r="E106" s="60">
        <v>0.018</v>
      </c>
      <c r="F106" s="23" t="s">
        <v>48</v>
      </c>
      <c r="G106" s="23" t="s">
        <v>48</v>
      </c>
      <c r="H106" s="23" t="s">
        <v>48</v>
      </c>
      <c r="I106" s="23" t="s">
        <v>48</v>
      </c>
      <c r="J106" s="23" t="s">
        <v>48</v>
      </c>
      <c r="K106" s="60">
        <v>0.0263</v>
      </c>
      <c r="L106" s="60">
        <v>0.0237</v>
      </c>
      <c r="M106" s="65" t="s">
        <v>48</v>
      </c>
      <c r="N106" s="56" t="s">
        <v>48</v>
      </c>
      <c r="O106" s="23" t="s">
        <v>55</v>
      </c>
    </row>
    <row r="107" spans="1:15" ht="12.75">
      <c r="A107" s="23">
        <v>0.01</v>
      </c>
      <c r="B107" s="60">
        <v>0.018</v>
      </c>
      <c r="C107" s="60">
        <v>0.018</v>
      </c>
      <c r="D107" s="23" t="s">
        <v>48</v>
      </c>
      <c r="E107" s="60">
        <v>0.018</v>
      </c>
      <c r="F107" s="60">
        <v>0.018000000000000002</v>
      </c>
      <c r="G107" s="60">
        <v>0.02</v>
      </c>
      <c r="H107" s="60">
        <v>0.018</v>
      </c>
      <c r="I107" s="60">
        <v>0.02</v>
      </c>
      <c r="J107" s="23" t="s">
        <v>48</v>
      </c>
      <c r="K107" s="60">
        <v>0.0105</v>
      </c>
      <c r="L107" s="60">
        <v>0.015</v>
      </c>
      <c r="M107" s="60">
        <v>0.0179</v>
      </c>
      <c r="N107" s="60">
        <v>0.0204</v>
      </c>
      <c r="O107" s="60" t="s">
        <v>73</v>
      </c>
    </row>
    <row r="108" spans="1:15" ht="12.75">
      <c r="A108" s="23">
        <v>0.03</v>
      </c>
      <c r="B108" s="60">
        <v>0.016</v>
      </c>
      <c r="C108" s="60">
        <v>0.016</v>
      </c>
      <c r="D108" s="23" t="s">
        <v>48</v>
      </c>
      <c r="E108" s="60">
        <v>0.018</v>
      </c>
      <c r="F108" s="60">
        <v>0.018000000000000002</v>
      </c>
      <c r="G108" s="60">
        <v>0.02</v>
      </c>
      <c r="H108" s="60">
        <v>0.018</v>
      </c>
      <c r="I108" s="60">
        <v>0.02</v>
      </c>
      <c r="J108" s="23" t="s">
        <v>48</v>
      </c>
      <c r="K108" s="60">
        <v>0.0085</v>
      </c>
      <c r="L108" s="60">
        <v>0.0137</v>
      </c>
      <c r="M108" s="60">
        <v>0.0178</v>
      </c>
      <c r="N108" s="60">
        <v>0.0204</v>
      </c>
      <c r="O108" s="60" t="s">
        <v>57</v>
      </c>
    </row>
    <row r="109" spans="1:15" ht="12.75">
      <c r="A109" s="23">
        <v>0.05</v>
      </c>
      <c r="B109" s="60">
        <v>0.016</v>
      </c>
      <c r="C109" s="60">
        <v>0.016</v>
      </c>
      <c r="D109" s="60">
        <v>0.02</v>
      </c>
      <c r="E109" s="60">
        <v>0.018</v>
      </c>
      <c r="F109" s="60">
        <v>0.018000000000000002</v>
      </c>
      <c r="G109" s="60">
        <v>0.02</v>
      </c>
      <c r="H109" s="60">
        <v>0.018</v>
      </c>
      <c r="I109" s="60">
        <v>0.02</v>
      </c>
      <c r="J109" s="60">
        <v>0.025</v>
      </c>
      <c r="K109" s="60">
        <v>0.0085</v>
      </c>
      <c r="L109" s="60">
        <v>0.0137</v>
      </c>
      <c r="M109" s="60">
        <v>0.0178</v>
      </c>
      <c r="N109" s="60">
        <v>0.0194</v>
      </c>
      <c r="O109" s="60" t="s">
        <v>58</v>
      </c>
    </row>
    <row r="110" spans="1:15" ht="12.75">
      <c r="A110" s="23">
        <v>0.1</v>
      </c>
      <c r="B110" s="60">
        <v>0.016</v>
      </c>
      <c r="C110" s="60">
        <v>0.016</v>
      </c>
      <c r="D110" s="60">
        <v>0.02</v>
      </c>
      <c r="E110" s="60">
        <v>0.018</v>
      </c>
      <c r="F110" s="60">
        <v>0.018000000000000002</v>
      </c>
      <c r="G110" s="60">
        <v>0.02</v>
      </c>
      <c r="H110" s="60">
        <v>0.018</v>
      </c>
      <c r="I110" s="60">
        <v>0.02</v>
      </c>
      <c r="J110" s="60">
        <v>0.025</v>
      </c>
      <c r="K110" s="60">
        <v>0.0085</v>
      </c>
      <c r="L110" s="60">
        <v>0.0137</v>
      </c>
      <c r="M110" s="60">
        <v>0.0178</v>
      </c>
      <c r="N110" s="60">
        <v>0.0198</v>
      </c>
      <c r="O110" s="66" t="s">
        <v>113</v>
      </c>
    </row>
    <row r="111" spans="1:15" ht="12.75">
      <c r="A111" s="23">
        <v>0.5</v>
      </c>
      <c r="B111" s="60">
        <v>0.016</v>
      </c>
      <c r="C111" s="60">
        <v>0.016</v>
      </c>
      <c r="D111" s="60">
        <v>0.02</v>
      </c>
      <c r="E111" s="60">
        <v>0.018</v>
      </c>
      <c r="F111" s="60">
        <v>0.018000000000000002</v>
      </c>
      <c r="G111" s="60">
        <v>0.02</v>
      </c>
      <c r="H111" s="60">
        <v>0.018</v>
      </c>
      <c r="I111" s="60">
        <v>0.02</v>
      </c>
      <c r="J111" s="60">
        <v>0.025</v>
      </c>
      <c r="K111" s="60">
        <v>0.0078</v>
      </c>
      <c r="L111" s="60">
        <v>0.0126</v>
      </c>
      <c r="M111" s="60">
        <v>0.0179</v>
      </c>
      <c r="N111" s="60">
        <v>0.0198</v>
      </c>
      <c r="O111" s="60" t="s">
        <v>76</v>
      </c>
    </row>
    <row r="112" spans="1:15" ht="12.75">
      <c r="A112" s="23">
        <v>1.2</v>
      </c>
      <c r="B112" s="60">
        <v>0.016</v>
      </c>
      <c r="C112" s="60">
        <v>0.016</v>
      </c>
      <c r="D112" s="60">
        <v>0.02</v>
      </c>
      <c r="E112" s="60">
        <v>0.018</v>
      </c>
      <c r="F112" s="60">
        <v>0.018000000000000002</v>
      </c>
      <c r="G112" s="60">
        <v>0.02</v>
      </c>
      <c r="H112" s="60">
        <v>0.018</v>
      </c>
      <c r="I112" s="60">
        <v>0.02</v>
      </c>
      <c r="J112" s="60">
        <v>0.025</v>
      </c>
      <c r="K112" s="60">
        <v>0.0091</v>
      </c>
      <c r="L112" s="60">
        <v>0.0135</v>
      </c>
      <c r="M112" s="60">
        <v>0.0182</v>
      </c>
      <c r="N112" s="60">
        <v>0.0198</v>
      </c>
      <c r="O112" s="60" t="s">
        <v>74</v>
      </c>
    </row>
    <row r="113" spans="1:15" ht="12.75">
      <c r="A113" s="23">
        <v>2</v>
      </c>
      <c r="B113" s="60">
        <v>0.02</v>
      </c>
      <c r="C113" s="60">
        <v>0.02</v>
      </c>
      <c r="D113" s="60">
        <v>0.025</v>
      </c>
      <c r="E113" s="60">
        <v>0.018</v>
      </c>
      <c r="F113" s="60">
        <v>0.02</v>
      </c>
      <c r="G113" s="60">
        <v>0.02</v>
      </c>
      <c r="H113" s="60">
        <v>0.02</v>
      </c>
      <c r="I113" s="60">
        <v>0.02</v>
      </c>
      <c r="J113" s="60">
        <v>0.025</v>
      </c>
      <c r="K113" s="60">
        <v>0.0091</v>
      </c>
      <c r="L113" s="60">
        <v>0.0135</v>
      </c>
      <c r="M113" s="60">
        <v>0.0182</v>
      </c>
      <c r="N113" s="60">
        <v>0.0213</v>
      </c>
      <c r="O113" s="60" t="s">
        <v>59</v>
      </c>
    </row>
    <row r="114" spans="1:15" ht="12.75">
      <c r="A114" s="23">
        <v>6</v>
      </c>
      <c r="B114" s="60">
        <v>0.02</v>
      </c>
      <c r="C114" s="60">
        <v>0.02</v>
      </c>
      <c r="D114" s="60">
        <v>0.025</v>
      </c>
      <c r="E114" s="60">
        <v>0.018</v>
      </c>
      <c r="F114" s="60">
        <v>0.02</v>
      </c>
      <c r="G114" s="60">
        <v>0.02</v>
      </c>
      <c r="H114" s="60">
        <v>0.02</v>
      </c>
      <c r="I114" s="60">
        <v>0.02</v>
      </c>
      <c r="J114" s="60">
        <v>0.025</v>
      </c>
      <c r="K114" s="60">
        <v>0.0126</v>
      </c>
      <c r="L114" s="60">
        <v>0.0166</v>
      </c>
      <c r="M114" s="60">
        <v>0.0188</v>
      </c>
      <c r="N114" s="60">
        <v>0.0213</v>
      </c>
      <c r="O114" s="60" t="s">
        <v>60</v>
      </c>
    </row>
    <row r="115" spans="1:15" ht="12.75">
      <c r="A115" s="23">
        <v>8</v>
      </c>
      <c r="B115" s="60">
        <v>0.02</v>
      </c>
      <c r="C115" s="60">
        <v>0.02</v>
      </c>
      <c r="D115" s="60">
        <v>0.025</v>
      </c>
      <c r="E115" s="60">
        <v>0.018</v>
      </c>
      <c r="F115" s="60">
        <v>0.02</v>
      </c>
      <c r="G115" s="60">
        <v>0.02</v>
      </c>
      <c r="H115" s="60" t="s">
        <v>48</v>
      </c>
      <c r="I115" s="60" t="s">
        <v>48</v>
      </c>
      <c r="J115" s="60">
        <v>0.025</v>
      </c>
      <c r="K115" s="60">
        <v>0.0126</v>
      </c>
      <c r="L115" s="60">
        <v>0.0166</v>
      </c>
      <c r="M115" s="60">
        <v>0.0188</v>
      </c>
      <c r="N115" s="60">
        <v>0.0213</v>
      </c>
      <c r="O115" s="60" t="s">
        <v>68</v>
      </c>
    </row>
    <row r="116" spans="1:15" ht="12.75">
      <c r="A116" s="23">
        <v>12.4</v>
      </c>
      <c r="B116" s="60">
        <v>0.02</v>
      </c>
      <c r="C116" s="60">
        <v>0.02</v>
      </c>
      <c r="D116" s="60">
        <v>0.025</v>
      </c>
      <c r="E116" s="60">
        <v>0.018</v>
      </c>
      <c r="F116" s="60">
        <v>0.022</v>
      </c>
      <c r="G116" s="60">
        <v>0.022000000000000002</v>
      </c>
      <c r="H116" s="60" t="s">
        <v>48</v>
      </c>
      <c r="I116" s="60" t="s">
        <v>48</v>
      </c>
      <c r="J116" s="60">
        <v>0.027</v>
      </c>
      <c r="K116" s="60">
        <v>0.0126</v>
      </c>
      <c r="L116" s="60">
        <v>0.0166</v>
      </c>
      <c r="M116" s="60">
        <v>0.0188</v>
      </c>
      <c r="N116" s="60">
        <v>0.0224</v>
      </c>
      <c r="O116" s="60" t="s">
        <v>66</v>
      </c>
    </row>
    <row r="117" spans="1:15" ht="12.75">
      <c r="A117" s="23">
        <v>14</v>
      </c>
      <c r="B117" s="60">
        <v>0.022</v>
      </c>
      <c r="C117" s="23" t="s">
        <v>48</v>
      </c>
      <c r="D117" s="60">
        <v>0.027</v>
      </c>
      <c r="E117" s="23" t="s">
        <v>48</v>
      </c>
      <c r="F117" s="60">
        <v>0.022</v>
      </c>
      <c r="G117" s="60">
        <v>0.022000000000000002</v>
      </c>
      <c r="H117" s="60" t="s">
        <v>48</v>
      </c>
      <c r="I117" s="60" t="s">
        <v>48</v>
      </c>
      <c r="J117" s="60">
        <v>0.027</v>
      </c>
      <c r="K117" s="60">
        <v>0.0159</v>
      </c>
      <c r="L117" s="60">
        <v>0.0183</v>
      </c>
      <c r="M117" s="60">
        <v>0.019</v>
      </c>
      <c r="N117" s="60">
        <v>0.0224</v>
      </c>
      <c r="O117" s="60" t="s">
        <v>75</v>
      </c>
    </row>
    <row r="118" spans="1:15" ht="12.75">
      <c r="A118" s="23">
        <v>16</v>
      </c>
      <c r="B118" s="60">
        <v>0.022</v>
      </c>
      <c r="C118" s="23" t="s">
        <v>48</v>
      </c>
      <c r="D118" s="60">
        <v>0.027</v>
      </c>
      <c r="E118" s="23" t="s">
        <v>48</v>
      </c>
      <c r="F118" s="60">
        <v>0.022</v>
      </c>
      <c r="G118" s="60">
        <v>0.022000000000000002</v>
      </c>
      <c r="H118" s="60" t="s">
        <v>48</v>
      </c>
      <c r="I118" s="60" t="s">
        <v>48</v>
      </c>
      <c r="J118" s="60">
        <v>0.027</v>
      </c>
      <c r="K118" s="60">
        <v>0.0159</v>
      </c>
      <c r="L118" s="60">
        <v>0.0183</v>
      </c>
      <c r="M118" s="60">
        <v>0.019</v>
      </c>
      <c r="N118" s="60">
        <v>0.0224</v>
      </c>
      <c r="O118" s="60" t="s">
        <v>62</v>
      </c>
    </row>
    <row r="119" spans="1:15" ht="12.75">
      <c r="A119" s="23">
        <v>18</v>
      </c>
      <c r="B119" s="60">
        <v>0.022</v>
      </c>
      <c r="C119" s="23" t="s">
        <v>48</v>
      </c>
      <c r="D119" s="60">
        <v>0.03</v>
      </c>
      <c r="E119" s="23" t="s">
        <v>48</v>
      </c>
      <c r="F119" s="60">
        <v>0.022</v>
      </c>
      <c r="G119" s="60">
        <v>0.022000000000000002</v>
      </c>
      <c r="H119" s="60" t="s">
        <v>48</v>
      </c>
      <c r="I119" s="60" t="s">
        <v>48</v>
      </c>
      <c r="J119" s="60">
        <v>0.03</v>
      </c>
      <c r="K119" s="60">
        <v>0.0159</v>
      </c>
      <c r="L119" s="60">
        <v>0.0267</v>
      </c>
      <c r="M119" s="60">
        <v>0.0209</v>
      </c>
      <c r="N119" s="60">
        <v>0.0252</v>
      </c>
      <c r="O119" s="60" t="s">
        <v>63</v>
      </c>
    </row>
    <row r="120" spans="1:15" ht="12.75">
      <c r="A120" s="23">
        <v>24</v>
      </c>
      <c r="B120" s="23" t="s">
        <v>48</v>
      </c>
      <c r="C120" s="23" t="s">
        <v>48</v>
      </c>
      <c r="D120" s="60">
        <v>0.03</v>
      </c>
      <c r="E120" s="23" t="s">
        <v>48</v>
      </c>
      <c r="F120" s="23" t="s">
        <v>48</v>
      </c>
      <c r="G120" s="23" t="s">
        <v>48</v>
      </c>
      <c r="H120" s="60" t="s">
        <v>48</v>
      </c>
      <c r="I120" s="60" t="s">
        <v>48</v>
      </c>
      <c r="J120" s="60">
        <v>0.03</v>
      </c>
      <c r="K120" s="67" t="s">
        <v>48</v>
      </c>
      <c r="L120" s="60">
        <v>0.0267</v>
      </c>
      <c r="M120" s="60">
        <v>0.0209</v>
      </c>
      <c r="N120" s="60">
        <v>0.0252</v>
      </c>
      <c r="O120" s="60" t="s">
        <v>65</v>
      </c>
    </row>
    <row r="121" spans="1:15" ht="12.75">
      <c r="A121" s="23">
        <v>26.5</v>
      </c>
      <c r="B121" s="23" t="s">
        <v>48</v>
      </c>
      <c r="C121" s="23" t="s">
        <v>48</v>
      </c>
      <c r="D121" s="23" t="s">
        <v>48</v>
      </c>
      <c r="E121" s="23" t="s">
        <v>48</v>
      </c>
      <c r="F121" s="23" t="s">
        <v>48</v>
      </c>
      <c r="G121" s="23" t="s">
        <v>48</v>
      </c>
      <c r="H121" s="23" t="s">
        <v>48</v>
      </c>
      <c r="I121" s="23" t="s">
        <v>48</v>
      </c>
      <c r="J121" s="23" t="s">
        <v>48</v>
      </c>
      <c r="K121" s="23" t="s">
        <v>48</v>
      </c>
      <c r="L121" s="60">
        <v>0.0332</v>
      </c>
      <c r="M121" s="60">
        <v>0.026600000000000002</v>
      </c>
      <c r="N121" s="60">
        <v>0.0466</v>
      </c>
      <c r="O121" s="60" t="s">
        <v>114</v>
      </c>
    </row>
    <row r="122" spans="1:15" ht="12.75">
      <c r="A122" s="23">
        <v>33</v>
      </c>
      <c r="B122" s="23" t="s">
        <v>48</v>
      </c>
      <c r="C122" s="23" t="s">
        <v>48</v>
      </c>
      <c r="D122" s="23" t="s">
        <v>48</v>
      </c>
      <c r="E122" s="23" t="s">
        <v>48</v>
      </c>
      <c r="F122" s="23" t="s">
        <v>48</v>
      </c>
      <c r="G122" s="23" t="s">
        <v>48</v>
      </c>
      <c r="H122" s="23" t="s">
        <v>48</v>
      </c>
      <c r="I122" s="23" t="s">
        <v>48</v>
      </c>
      <c r="J122" s="23" t="s">
        <v>48</v>
      </c>
      <c r="K122" s="23" t="s">
        <v>48</v>
      </c>
      <c r="L122" s="60">
        <v>0.0332</v>
      </c>
      <c r="M122" s="60">
        <v>0.0266</v>
      </c>
      <c r="N122" s="60">
        <v>0.0466</v>
      </c>
      <c r="O122" s="60" t="s">
        <v>115</v>
      </c>
    </row>
    <row r="123" spans="1:15" ht="12.75">
      <c r="A123" s="23">
        <v>40</v>
      </c>
      <c r="B123" s="23" t="s">
        <v>48</v>
      </c>
      <c r="C123" s="23" t="s">
        <v>48</v>
      </c>
      <c r="D123" s="23" t="s">
        <v>48</v>
      </c>
      <c r="E123" s="23" t="s">
        <v>48</v>
      </c>
      <c r="F123" s="23" t="s">
        <v>48</v>
      </c>
      <c r="G123" s="23" t="s">
        <v>48</v>
      </c>
      <c r="H123" s="23" t="s">
        <v>48</v>
      </c>
      <c r="I123" s="23" t="s">
        <v>48</v>
      </c>
      <c r="J123" s="23" t="s">
        <v>48</v>
      </c>
      <c r="K123" s="23" t="s">
        <v>48</v>
      </c>
      <c r="L123" s="23" t="s">
        <v>48</v>
      </c>
      <c r="M123" s="60">
        <v>0.0373</v>
      </c>
      <c r="N123" s="60">
        <v>0.0466</v>
      </c>
      <c r="O123" s="66" t="s">
        <v>129</v>
      </c>
    </row>
    <row r="124" spans="1:15" ht="12.75">
      <c r="A124" s="23">
        <v>45</v>
      </c>
      <c r="B124" s="23" t="s">
        <v>48</v>
      </c>
      <c r="C124" s="23" t="s">
        <v>48</v>
      </c>
      <c r="D124" s="23" t="s">
        <v>48</v>
      </c>
      <c r="E124" s="23" t="s">
        <v>48</v>
      </c>
      <c r="F124" s="23" t="s">
        <v>48</v>
      </c>
      <c r="G124" s="23" t="s">
        <v>48</v>
      </c>
      <c r="H124" s="23" t="s">
        <v>48</v>
      </c>
      <c r="I124" s="23" t="s">
        <v>48</v>
      </c>
      <c r="J124" s="23" t="s">
        <v>48</v>
      </c>
      <c r="K124" s="23" t="s">
        <v>48</v>
      </c>
      <c r="L124" s="23" t="s">
        <v>48</v>
      </c>
      <c r="M124" s="60">
        <v>0.0468</v>
      </c>
      <c r="N124" s="60">
        <v>0.0466</v>
      </c>
      <c r="O124" s="66" t="s">
        <v>136</v>
      </c>
    </row>
    <row r="125" spans="1:15" ht="12.75">
      <c r="A125" s="23">
        <v>50</v>
      </c>
      <c r="B125" s="23" t="s">
        <v>48</v>
      </c>
      <c r="C125" s="23" t="s">
        <v>48</v>
      </c>
      <c r="D125" s="23" t="s">
        <v>48</v>
      </c>
      <c r="E125" s="23" t="s">
        <v>48</v>
      </c>
      <c r="F125" s="23" t="s">
        <v>48</v>
      </c>
      <c r="G125" s="23" t="s">
        <v>48</v>
      </c>
      <c r="H125" s="23" t="s">
        <v>48</v>
      </c>
      <c r="I125" s="23" t="s">
        <v>48</v>
      </c>
      <c r="J125" s="23" t="s">
        <v>48</v>
      </c>
      <c r="K125" s="23" t="s">
        <v>48</v>
      </c>
      <c r="L125" s="23" t="s">
        <v>48</v>
      </c>
      <c r="M125" s="60">
        <v>0.0468</v>
      </c>
      <c r="N125" s="60">
        <v>0.0514</v>
      </c>
      <c r="O125" s="66" t="s">
        <v>130</v>
      </c>
    </row>
    <row r="126" spans="1:15" ht="12.75">
      <c r="A126" s="23">
        <v>67</v>
      </c>
      <c r="B126" s="23" t="s">
        <v>48</v>
      </c>
      <c r="C126" s="23" t="s">
        <v>48</v>
      </c>
      <c r="D126" s="23" t="s">
        <v>48</v>
      </c>
      <c r="E126" s="23" t="s">
        <v>48</v>
      </c>
      <c r="F126" s="23" t="s">
        <v>48</v>
      </c>
      <c r="G126" s="23" t="s">
        <v>48</v>
      </c>
      <c r="H126" s="23" t="s">
        <v>48</v>
      </c>
      <c r="I126" s="23" t="s">
        <v>48</v>
      </c>
      <c r="J126" s="23" t="s">
        <v>48</v>
      </c>
      <c r="K126" s="23" t="s">
        <v>48</v>
      </c>
      <c r="L126" s="23" t="s">
        <v>48</v>
      </c>
      <c r="M126" s="68" t="s">
        <v>48</v>
      </c>
      <c r="N126" s="60">
        <v>0.057</v>
      </c>
      <c r="O126" s="66" t="s">
        <v>131</v>
      </c>
    </row>
    <row r="127" spans="1:15" ht="12.75">
      <c r="A127" s="23">
        <v>70</v>
      </c>
      <c r="B127" s="23" t="s">
        <v>48</v>
      </c>
      <c r="C127" s="23" t="s">
        <v>48</v>
      </c>
      <c r="D127" s="23" t="s">
        <v>48</v>
      </c>
      <c r="E127" s="23" t="s">
        <v>48</v>
      </c>
      <c r="F127" s="23" t="s">
        <v>48</v>
      </c>
      <c r="G127" s="23" t="s">
        <v>48</v>
      </c>
      <c r="H127" s="23" t="s">
        <v>48</v>
      </c>
      <c r="I127" s="23" t="s">
        <v>48</v>
      </c>
      <c r="J127" s="23" t="s">
        <v>48</v>
      </c>
      <c r="K127" s="23" t="s">
        <v>48</v>
      </c>
      <c r="L127" s="23" t="s">
        <v>48</v>
      </c>
      <c r="M127" s="68" t="s">
        <v>48</v>
      </c>
      <c r="N127" s="60">
        <v>0.057</v>
      </c>
      <c r="O127" s="66" t="s">
        <v>132</v>
      </c>
    </row>
    <row r="129" spans="1:3" ht="12.75">
      <c r="A129" s="23" t="s">
        <v>40</v>
      </c>
      <c r="B129" s="69">
        <f>(calculator!B4-1)/(calculator!B4+1)</f>
        <v>0.1111111111111111</v>
      </c>
      <c r="C129" s="70"/>
    </row>
    <row r="130" spans="1:3" ht="12.75">
      <c r="A130" s="23" t="s">
        <v>45</v>
      </c>
      <c r="B130" s="69">
        <f>(C130-1)/(C130+1)</f>
        <v>0.08675799086757989</v>
      </c>
      <c r="C130" s="23">
        <f>INDEX(A5:N28,MATCH(calculator!B6,A5:A28,1),MATCH(calculator!B5,A5:N5,0))</f>
        <v>1.19</v>
      </c>
    </row>
    <row r="131" spans="1:2" ht="12.75">
      <c r="A131" s="23" t="s">
        <v>46</v>
      </c>
      <c r="B131" s="23">
        <f>IF(OR(calculator!B5="U8481A",calculator!B5="U8485A",calculator!B5="U8487A",calculator!B5="U8488A"),Data!B232,Data!B96)</f>
        <v>1</v>
      </c>
    </row>
    <row r="134" spans="1:2" ht="12.75">
      <c r="A134" s="23" t="s">
        <v>16</v>
      </c>
      <c r="B134" s="71">
        <f>3^0.5</f>
        <v>1.7320508075688772</v>
      </c>
    </row>
    <row r="135" spans="1:2" ht="12.75">
      <c r="A135" s="23" t="s">
        <v>19</v>
      </c>
      <c r="B135" s="23">
        <v>2</v>
      </c>
    </row>
    <row r="136" spans="1:2" ht="12.75">
      <c r="A136" s="23" t="s">
        <v>47</v>
      </c>
      <c r="B136" s="71">
        <f>2^0.5</f>
        <v>1.4142135623730951</v>
      </c>
    </row>
    <row r="140" spans="1:5" ht="12.75">
      <c r="A140" s="23" t="s">
        <v>30</v>
      </c>
      <c r="B140" s="23" t="str">
        <f>IF(OR(calculator!B6&gt;18,calculator!B6&lt;0.01),"Invalid input!"," ")</f>
        <v> </v>
      </c>
      <c r="D140" s="23" t="s">
        <v>30</v>
      </c>
      <c r="E140" s="23" t="str">
        <f>IF(OR(calculator!B7&gt;20,calculator!B7&lt;-60),"Invalid input!"," ")</f>
        <v> </v>
      </c>
    </row>
    <row r="141" spans="1:5" ht="12.75">
      <c r="A141" s="23" t="s">
        <v>31</v>
      </c>
      <c r="B141" s="23" t="str">
        <f>IF(OR(calculator!B6&gt;6,calculator!B6&lt;0.01),"Invalid input!"," ")</f>
        <v> </v>
      </c>
      <c r="D141" s="23" t="s">
        <v>31</v>
      </c>
      <c r="E141" s="23" t="str">
        <f>IF(OR(calculator!B7&gt;20,calculator!B7&lt;-60),"Invalid input!"," ")</f>
        <v> </v>
      </c>
    </row>
    <row r="142" spans="1:5" ht="12.75">
      <c r="A142" s="23" t="s">
        <v>32</v>
      </c>
      <c r="B142" s="23" t="str">
        <f>IF(OR(calculator!B6&gt;24,calculator!B6&lt;0.05),"Invalid input!"," ")</f>
        <v> </v>
      </c>
      <c r="D142" s="23" t="s">
        <v>32</v>
      </c>
      <c r="E142" s="23" t="str">
        <f>IF(OR(calculator!B7&gt;20,calculator!B7&lt;-60),"Invalid input!"," ")</f>
        <v> </v>
      </c>
    </row>
    <row r="143" spans="1:5" ht="12.75">
      <c r="A143" s="23" t="s">
        <v>33</v>
      </c>
      <c r="B143" s="23" t="str">
        <f>IF(OR(calculator!B6&gt;6,calculator!B6&lt;0.000009),"Invalid input!"," ")</f>
        <v> </v>
      </c>
      <c r="D143" s="23" t="s">
        <v>33</v>
      </c>
      <c r="E143" s="23" t="str">
        <f>IF(OR(calculator!B7&gt;20,calculator!B7&lt;-60),"Invalid input!"," ")</f>
        <v> </v>
      </c>
    </row>
    <row r="144" spans="1:5" ht="12.75">
      <c r="A144" s="23" t="s">
        <v>54</v>
      </c>
      <c r="B144" s="23" t="str">
        <f>IF(OR(calculator!B6&gt;18,calculator!B6&lt;0.01),"Invalid input!"," ")</f>
        <v> </v>
      </c>
      <c r="D144" s="23" t="s">
        <v>54</v>
      </c>
      <c r="E144" s="23" t="str">
        <f>IF(OR(calculator!B7&gt;44,calculator!B7&lt;-30),"Invalid input!"," ")</f>
        <v> </v>
      </c>
    </row>
    <row r="145" spans="1:5" ht="12.75">
      <c r="A145" s="23" t="s">
        <v>67</v>
      </c>
      <c r="B145" s="23" t="str">
        <f>IF(OR(calculator!B6&gt;18,calculator!B6&lt;0.01),"Invalid input!"," ")</f>
        <v> </v>
      </c>
      <c r="D145" s="23" t="s">
        <v>67</v>
      </c>
      <c r="E145" s="23" t="str">
        <f>IF(OR(calculator!B7&gt;30,calculator!B7&lt;-50),"Invalid input!"," ")</f>
        <v> </v>
      </c>
    </row>
    <row r="146" spans="1:5" ht="12.75">
      <c r="A146" s="23" t="s">
        <v>69</v>
      </c>
      <c r="B146" s="23" t="str">
        <f>IF(OR(calculator!B6&gt;6,calculator!B6&lt;0.01),"Invalid input!"," ")</f>
        <v> </v>
      </c>
      <c r="D146" s="23" t="s">
        <v>69</v>
      </c>
      <c r="E146" s="23" t="str">
        <f>IF(OR(calculator!B7&gt;44,calculator!B7&lt;-30),"Invalid input!"," ")</f>
        <v> </v>
      </c>
    </row>
    <row r="147" spans="1:7" ht="12.75">
      <c r="A147" s="23" t="s">
        <v>70</v>
      </c>
      <c r="B147" s="23" t="str">
        <f>IF(OR(calculator!B6&gt;6,calculator!B6&lt;0.01),"Invalid input!"," ")</f>
        <v> </v>
      </c>
      <c r="D147" s="23" t="s">
        <v>70</v>
      </c>
      <c r="E147" s="23" t="str">
        <f>IF(OR(calculator!B7&gt;30,calculator!B7&lt;-50),"Invalid input!"," ")</f>
        <v> </v>
      </c>
      <c r="G147" s="72" t="s">
        <v>87</v>
      </c>
    </row>
    <row r="148" spans="1:7" ht="12.75">
      <c r="A148" s="23" t="s">
        <v>71</v>
      </c>
      <c r="B148" s="23" t="str">
        <f>IF(OR(calculator!B6&gt;24,calculator!B6&lt;0.05),"Invalid input!"," ")</f>
        <v> </v>
      </c>
      <c r="D148" s="23" t="s">
        <v>71</v>
      </c>
      <c r="E148" s="23" t="str">
        <f>IF(OR(calculator!B7&gt;30,calculator!B7&lt;-50),"Invalid input!"," ")</f>
        <v> </v>
      </c>
      <c r="G148" s="72" t="s">
        <v>88</v>
      </c>
    </row>
    <row r="149" spans="1:7" ht="12.75">
      <c r="A149" s="23" t="s">
        <v>110</v>
      </c>
      <c r="B149" s="23">
        <f>IF(OR(calculator!B6="DC",calculator!B6&lt;18.0001),"","Invalid input!")</f>
      </c>
      <c r="D149" s="23" t="s">
        <v>110</v>
      </c>
      <c r="E149" s="23" t="str">
        <f>IF(OR(calculator!B7&gt;20,calculator!B7&lt;-35),"Invalid input!"," ")</f>
        <v> </v>
      </c>
      <c r="G149" s="72"/>
    </row>
    <row r="150" spans="1:7" ht="12.75">
      <c r="A150" s="23" t="s">
        <v>111</v>
      </c>
      <c r="B150" s="23">
        <f>IF(OR(calculator!B6="DC",calculator!B6&lt;33.0001),"","Invalid input!")</f>
      </c>
      <c r="D150" s="23" t="s">
        <v>111</v>
      </c>
      <c r="E150" s="23" t="str">
        <f>IF(OR(calculator!B7&gt;20,calculator!B7&lt;-35),"Invalid input!"," ")</f>
        <v> </v>
      </c>
      <c r="G150" s="72"/>
    </row>
    <row r="151" spans="1:7" ht="12.75">
      <c r="A151" s="33" t="s">
        <v>127</v>
      </c>
      <c r="B151" s="23" t="str">
        <f>IF(OR(calculator!B6&gt;50,calculator!B6&lt;0.01),"Invalid input!"," ")</f>
        <v> </v>
      </c>
      <c r="D151" s="33" t="s">
        <v>127</v>
      </c>
      <c r="E151" s="23" t="str">
        <f>IF(OR(calculator!B7&gt;20,calculator!B7&lt;-35),"Invalid input!"," ")</f>
        <v> </v>
      </c>
      <c r="G151" s="72"/>
    </row>
    <row r="152" spans="1:7" ht="12.75">
      <c r="A152" s="33" t="s">
        <v>128</v>
      </c>
      <c r="B152" s="23" t="str">
        <f>IF(OR(calculator!B6&gt;70,calculator!B6&lt;0.01),"Invalid input!"," ")</f>
        <v> </v>
      </c>
      <c r="D152" s="33" t="s">
        <v>128</v>
      </c>
      <c r="E152" s="23" t="str">
        <f>IF(OR(calculator!B7&gt;20,calculator!B7&lt;-35),"Invalid input!"," ")</f>
        <v> </v>
      </c>
      <c r="G152" s="72"/>
    </row>
    <row r="155" spans="1:7" ht="12.75">
      <c r="A155" s="31" t="s">
        <v>36</v>
      </c>
      <c r="B155" s="31" t="s">
        <v>87</v>
      </c>
      <c r="C155" s="31" t="s">
        <v>88</v>
      </c>
      <c r="G155" s="31" t="s">
        <v>37</v>
      </c>
    </row>
    <row r="156" spans="1:8" ht="12.75">
      <c r="A156" s="23" t="s">
        <v>80</v>
      </c>
      <c r="B156" s="73">
        <f>IF(OR((calculator!B5="U2000A"),(calculator!B5="U2001A"),(calculator!B5="U2002A"),calculator!B5=("U2004A")),INDEX(Data!A44:E51,MATCH(calculator!B7,Data!A44:A51,1),MATCH(calculator!B5,Data!A44:E44,0)),(IF(OR((calculator!B5="U2000B"),(calculator!B5="U2001B")),INDEX(Data!G44:I50,MATCH(calculator!B7,Data!G44:G50,1),MATCH(calculator!B5,Data!G44:I44,0)),(INDEX(Data!K44:N51,MATCH(calculator!B7,K44:K51,1),MATCH(calculator!B5,K44:N44,0))))))</f>
        <v>1E-08</v>
      </c>
      <c r="C156" s="74">
        <f>IF(OR((calculator!B5="U2000A"),(calculator!B5="U2001A"),(calculator!B5="U2002A"),calculator!B5=("U2004A")),INDEX(A168:E175,MATCH(calculator!B7,A168:A175,1),MATCH(calculator!B5,A168:E168,0)),(IF(OR((calculator!B5="U2000B"),(calculator!B5="U2001B")),INDEX(G168:I174,MATCH(calculator!B7,G168:G174,1),MATCH(calculator!B5,G168:I168,0)),(INDEX(K168:N175,MATCH(calculator!B7,K168:K175,1),MATCH(calculator!B5,K168:N168,0))))))</f>
        <v>4.8E-07</v>
      </c>
      <c r="G156" s="33" t="s">
        <v>87</v>
      </c>
      <c r="H156" s="74">
        <f>IF(OR((calculator!B5="U2000A"),(calculator!B5="U2001A"),(calculator!B5="U2002A"),calculator!B5=("U2004A")),INDEX(Data!A62:E69,MATCH(calculator!B7,Data!A62:A69,1),MATCH(calculator!B5,Data!A62:E62,0)),(IF(OR((calculator!B5="U2000B"),(calculator!B5="U2001B")),INDEX(Data!G62:I68,MATCH(calculator!B7,Data!G62:G68,1),MATCH(calculator!B5,Data!G62:I62,0)),(INDEX(Data!K62:N69,MATCH(calculator!B7,Data!K62:K69,1),MATCH(calculator!B5,Data!K62:N62,0))))))</f>
        <v>1.5E-09</v>
      </c>
    </row>
    <row r="157" spans="1:8" ht="12.75">
      <c r="A157" s="23" t="s">
        <v>79</v>
      </c>
      <c r="B157" s="73">
        <f>IF(OR((calculator!B5="U2000A"),(calculator!B5="U2001A"),(calculator!B5="U2002A"),calculator!B5=("U2004A")),INDEX(A53:E60,MATCH(calculator!B7,A53:A60,1),MATCH(calculator!B5,A53:E53,0)),(IF(OR((calculator!B5="U2000B"),(calculator!B5="U2001B")),INDEX(G53:I59,MATCH(calculator!B7,G53:G59,1),MATCH(calculator!B5,G53:I53,0)),(INDEX(K53:N60,MATCH(calculator!B7,K53:K60,1),MATCH(calculator!B5,K53:N53,0))))))</f>
        <v>1.2E-08</v>
      </c>
      <c r="C157" s="74">
        <f>IF(OR((calculator!B5="U2000A"),(calculator!B5="U2001A"),(calculator!B5="U2002A"),calculator!B5=("U2004A")),INDEX(A179:E186,MATCH(calculator!B7,A179:A186,1),MATCH(calculator!B5,A179:E179,0)),(IF(OR((calculator!B5="U2000B"),(calculator!B5="U2001B")),INDEX(G179:I185,MATCH(calculator!B7,G179:G185,1),MATCH(calculator!B5,G179:I179,0)),(INDEX(K179:N186,MATCH(calculator!B7,K179:K186,1),MATCH(calculator!B5,K179:N179,0))))))</f>
        <v>5.3E-07</v>
      </c>
      <c r="G157" s="33" t="s">
        <v>88</v>
      </c>
      <c r="H157" s="74">
        <f>IF(OR((calculator!B5="U2000A"),(calculator!B5="U2001A"),(calculator!B5="U2002A"),calculator!B5=("U2004A")),INDEX(A189:E196,MATCH(calculator!B7,A189:A196,1),MATCH(calculator!B5,A189:E189,0)),(IF(OR((calculator!B5="U2000B"),(calculator!B5="U2001B")),INDEX(G189:I195,MATCH(calculator!B7,G189:G195,1),MATCH(calculator!B5,G189:I189,0)),(INDEX(K189:N196,MATCH(calculator!B7,K189:K196,1),MATCH(calculator!B5,K189:N189,0))))))</f>
        <v>2.3E-07</v>
      </c>
    </row>
    <row r="160" ht="12.75">
      <c r="A160" s="75" t="s">
        <v>94</v>
      </c>
    </row>
    <row r="162" ht="12.75">
      <c r="A162" s="31" t="s">
        <v>35</v>
      </c>
    </row>
    <row r="163" spans="2:10" ht="12.75">
      <c r="B163" s="23" t="s">
        <v>30</v>
      </c>
      <c r="C163" s="23" t="s">
        <v>31</v>
      </c>
      <c r="D163" s="23" t="s">
        <v>32</v>
      </c>
      <c r="E163" s="23" t="s">
        <v>33</v>
      </c>
      <c r="F163" s="23" t="s">
        <v>54</v>
      </c>
      <c r="G163" s="23" t="s">
        <v>67</v>
      </c>
      <c r="H163" s="23" t="s">
        <v>69</v>
      </c>
      <c r="I163" s="23" t="s">
        <v>70</v>
      </c>
      <c r="J163" s="23" t="s">
        <v>71</v>
      </c>
    </row>
    <row r="164" spans="2:10" ht="12.75">
      <c r="B164" s="59">
        <v>0.04</v>
      </c>
      <c r="C164" s="59">
        <v>0.04</v>
      </c>
      <c r="D164" s="59">
        <v>0.04</v>
      </c>
      <c r="E164" s="76" t="s">
        <v>48</v>
      </c>
      <c r="F164" s="60">
        <v>0.045</v>
      </c>
      <c r="G164" s="59">
        <v>0.05</v>
      </c>
      <c r="H164" s="60">
        <v>0.045</v>
      </c>
      <c r="I164" s="59">
        <v>0.05</v>
      </c>
      <c r="J164" s="59">
        <v>0.05</v>
      </c>
    </row>
    <row r="167" spans="1:7" ht="12.75">
      <c r="A167" s="31" t="s">
        <v>77</v>
      </c>
      <c r="B167" s="77" t="s">
        <v>82</v>
      </c>
      <c r="G167" s="62"/>
    </row>
    <row r="168" spans="2:14" ht="12.75">
      <c r="B168" s="23" t="s">
        <v>30</v>
      </c>
      <c r="C168" s="23" t="s">
        <v>31</v>
      </c>
      <c r="D168" s="23" t="s">
        <v>32</v>
      </c>
      <c r="E168" s="23" t="s">
        <v>33</v>
      </c>
      <c r="G168" s="62"/>
      <c r="H168" s="23" t="s">
        <v>54</v>
      </c>
      <c r="I168" s="23" t="s">
        <v>69</v>
      </c>
      <c r="L168" s="23" t="s">
        <v>67</v>
      </c>
      <c r="M168" s="23" t="s">
        <v>70</v>
      </c>
      <c r="N168" s="23" t="s">
        <v>71</v>
      </c>
    </row>
    <row r="169" spans="1:15" ht="12.75">
      <c r="A169" s="23">
        <v>-60</v>
      </c>
      <c r="B169" s="78" t="s">
        <v>48</v>
      </c>
      <c r="C169" s="78" t="s">
        <v>48</v>
      </c>
      <c r="D169" s="78" t="s">
        <v>48</v>
      </c>
      <c r="E169" s="78" t="s">
        <v>48</v>
      </c>
      <c r="G169" s="62">
        <v>-30</v>
      </c>
      <c r="H169" s="78" t="s">
        <v>48</v>
      </c>
      <c r="I169" s="78" t="s">
        <v>48</v>
      </c>
      <c r="K169" s="23">
        <v>-50</v>
      </c>
      <c r="L169" s="78" t="s">
        <v>48</v>
      </c>
      <c r="M169" s="78" t="s">
        <v>48</v>
      </c>
      <c r="N169" s="78" t="s">
        <v>48</v>
      </c>
      <c r="O169" s="78"/>
    </row>
    <row r="170" spans="1:14" ht="12.75">
      <c r="A170" s="23">
        <v>-38</v>
      </c>
      <c r="B170" s="63">
        <v>4.3E-08</v>
      </c>
      <c r="C170" s="63">
        <v>4.3E-08</v>
      </c>
      <c r="D170" s="63">
        <v>4.3E-08</v>
      </c>
      <c r="E170" s="78" t="s">
        <v>48</v>
      </c>
      <c r="G170" s="62">
        <v>-8</v>
      </c>
      <c r="H170" s="63">
        <v>4.3E-05</v>
      </c>
      <c r="I170" s="63">
        <v>4.3E-05</v>
      </c>
      <c r="K170" s="23">
        <v>-28</v>
      </c>
      <c r="L170" s="63">
        <v>5E-07</v>
      </c>
      <c r="M170" s="63">
        <v>5E-07</v>
      </c>
      <c r="N170" s="63">
        <v>5E-07</v>
      </c>
    </row>
    <row r="171" spans="1:14" ht="12.75">
      <c r="A171" s="23">
        <v>-20</v>
      </c>
      <c r="B171" s="63">
        <v>4.8E-07</v>
      </c>
      <c r="C171" s="63">
        <v>4.8E-07</v>
      </c>
      <c r="D171" s="63">
        <v>4.8E-07</v>
      </c>
      <c r="E171" s="79" t="s">
        <v>48</v>
      </c>
      <c r="G171" s="62">
        <v>10</v>
      </c>
      <c r="H171" s="63">
        <v>0.00048</v>
      </c>
      <c r="I171" s="63">
        <v>0.00048</v>
      </c>
      <c r="K171" s="23">
        <v>-10</v>
      </c>
      <c r="L171" s="63">
        <v>4.8E-06</v>
      </c>
      <c r="M171" s="63">
        <v>4.8E-06</v>
      </c>
      <c r="N171" s="63">
        <v>4.8E-06</v>
      </c>
    </row>
    <row r="172" spans="1:14" ht="12.75">
      <c r="A172" s="64">
        <v>-7.5</v>
      </c>
      <c r="B172" s="63">
        <v>2.7E-05</v>
      </c>
      <c r="C172" s="63">
        <v>2.7E-05</v>
      </c>
      <c r="D172" s="63">
        <v>2.7E-05</v>
      </c>
      <c r="E172" s="78" t="s">
        <v>48</v>
      </c>
      <c r="G172" s="62">
        <v>19</v>
      </c>
      <c r="H172" s="63">
        <v>0.027</v>
      </c>
      <c r="I172" s="63">
        <v>0.027</v>
      </c>
      <c r="K172" s="23">
        <v>-1</v>
      </c>
      <c r="L172" s="63">
        <v>0.00027</v>
      </c>
      <c r="M172" s="63">
        <v>0.00027</v>
      </c>
      <c r="N172" s="63">
        <v>0.00027</v>
      </c>
    </row>
    <row r="173" spans="1:14" ht="12.75">
      <c r="A173" s="64">
        <v>-4</v>
      </c>
      <c r="B173" s="63">
        <v>3E-05</v>
      </c>
      <c r="C173" s="63">
        <v>3E-05</v>
      </c>
      <c r="D173" s="63">
        <v>3E-05</v>
      </c>
      <c r="E173" s="78" t="s">
        <v>48</v>
      </c>
      <c r="G173" s="62">
        <v>23</v>
      </c>
      <c r="H173" s="63">
        <v>0.034</v>
      </c>
      <c r="I173" s="63">
        <v>0.034</v>
      </c>
      <c r="K173" s="23">
        <v>3</v>
      </c>
      <c r="L173" s="63">
        <v>0.0003</v>
      </c>
      <c r="M173" s="63">
        <v>0.0003</v>
      </c>
      <c r="N173" s="63">
        <v>0.0003</v>
      </c>
    </row>
    <row r="174" spans="1:14" ht="12.75">
      <c r="A174" s="64">
        <v>10</v>
      </c>
      <c r="B174" s="63">
        <v>0.0002</v>
      </c>
      <c r="C174" s="63">
        <v>0.0002</v>
      </c>
      <c r="D174" s="63">
        <v>0.0002</v>
      </c>
      <c r="E174" s="78" t="s">
        <v>48</v>
      </c>
      <c r="G174" s="62">
        <v>44</v>
      </c>
      <c r="H174" s="63">
        <v>0.034</v>
      </c>
      <c r="I174" s="63">
        <v>0.034</v>
      </c>
      <c r="K174" s="23">
        <v>20</v>
      </c>
      <c r="L174" s="63">
        <v>0.0028</v>
      </c>
      <c r="M174" s="63">
        <v>0.0028</v>
      </c>
      <c r="N174" s="63">
        <v>0.0028</v>
      </c>
    </row>
    <row r="175" spans="1:14" ht="12.75">
      <c r="A175" s="64">
        <v>20</v>
      </c>
      <c r="B175" s="63">
        <v>0.0002</v>
      </c>
      <c r="C175" s="63">
        <v>0.0002</v>
      </c>
      <c r="D175" s="63">
        <v>0.0002</v>
      </c>
      <c r="E175" s="78" t="s">
        <v>48</v>
      </c>
      <c r="G175" s="62"/>
      <c r="K175" s="23">
        <v>30</v>
      </c>
      <c r="L175" s="63">
        <v>0.0028</v>
      </c>
      <c r="M175" s="63">
        <v>0.0028</v>
      </c>
      <c r="N175" s="63">
        <v>0.0028</v>
      </c>
    </row>
    <row r="176" ht="12.75">
      <c r="A176" s="64"/>
    </row>
    <row r="177" ht="12.75">
      <c r="A177" s="64"/>
    </row>
    <row r="178" spans="1:7" ht="12.75">
      <c r="A178" s="80" t="s">
        <v>78</v>
      </c>
      <c r="B178" s="77" t="s">
        <v>82</v>
      </c>
      <c r="G178" s="62"/>
    </row>
    <row r="179" spans="1:14" ht="12.75">
      <c r="A179" s="64"/>
      <c r="B179" s="23" t="s">
        <v>30</v>
      </c>
      <c r="C179" s="23" t="s">
        <v>31</v>
      </c>
      <c r="D179" s="23" t="s">
        <v>32</v>
      </c>
      <c r="E179" s="23" t="s">
        <v>33</v>
      </c>
      <c r="G179" s="62"/>
      <c r="H179" s="23" t="s">
        <v>54</v>
      </c>
      <c r="I179" s="23" t="s">
        <v>69</v>
      </c>
      <c r="L179" s="23" t="s">
        <v>67</v>
      </c>
      <c r="M179" s="23" t="s">
        <v>70</v>
      </c>
      <c r="N179" s="23" t="s">
        <v>71</v>
      </c>
    </row>
    <row r="180" spans="1:14" ht="12.75">
      <c r="A180" s="64">
        <v>-60</v>
      </c>
      <c r="B180" s="78" t="s">
        <v>48</v>
      </c>
      <c r="C180" s="78" t="s">
        <v>48</v>
      </c>
      <c r="D180" s="78" t="s">
        <v>48</v>
      </c>
      <c r="E180" s="78" t="s">
        <v>48</v>
      </c>
      <c r="G180" s="62">
        <f>A180+30</f>
        <v>-30</v>
      </c>
      <c r="H180" s="78" t="s">
        <v>48</v>
      </c>
      <c r="I180" s="78" t="s">
        <v>48</v>
      </c>
      <c r="K180" s="23">
        <v>-50</v>
      </c>
      <c r="L180" s="78" t="s">
        <v>48</v>
      </c>
      <c r="M180" s="78" t="s">
        <v>48</v>
      </c>
      <c r="N180" s="78" t="s">
        <v>48</v>
      </c>
    </row>
    <row r="181" spans="1:14" ht="12.75">
      <c r="A181" s="64">
        <v>-38</v>
      </c>
      <c r="B181" s="63">
        <v>4.7E-08</v>
      </c>
      <c r="C181" s="63">
        <v>4.7E-08</v>
      </c>
      <c r="D181" s="63">
        <v>4.7E-08</v>
      </c>
      <c r="E181" s="78" t="s">
        <v>48</v>
      </c>
      <c r="G181" s="62">
        <v>-8</v>
      </c>
      <c r="H181" s="63">
        <v>4.7E-05</v>
      </c>
      <c r="I181" s="63">
        <v>4.7E-05</v>
      </c>
      <c r="K181" s="23">
        <v>-28</v>
      </c>
      <c r="L181" s="63">
        <v>7.3E-07</v>
      </c>
      <c r="M181" s="63">
        <v>7.3E-07</v>
      </c>
      <c r="N181" s="63">
        <v>7.3E-07</v>
      </c>
    </row>
    <row r="182" spans="1:14" ht="12.75">
      <c r="A182" s="64">
        <v>-20</v>
      </c>
      <c r="B182" s="63">
        <v>5.3E-07</v>
      </c>
      <c r="C182" s="63">
        <v>5.3E-07</v>
      </c>
      <c r="D182" s="63">
        <v>5.3E-07</v>
      </c>
      <c r="E182" s="79" t="s">
        <v>48</v>
      </c>
      <c r="G182" s="62">
        <v>10</v>
      </c>
      <c r="H182" s="63">
        <v>0.00053</v>
      </c>
      <c r="I182" s="63">
        <v>0.00053</v>
      </c>
      <c r="K182" s="23">
        <v>-10</v>
      </c>
      <c r="L182" s="63">
        <v>5.3E-06</v>
      </c>
      <c r="M182" s="63">
        <v>5.3E-06</v>
      </c>
      <c r="N182" s="63">
        <v>5.3E-06</v>
      </c>
    </row>
    <row r="183" spans="1:14" ht="12.75">
      <c r="A183" s="64">
        <v>-7.5</v>
      </c>
      <c r="B183" s="63">
        <v>3E-05</v>
      </c>
      <c r="C183" s="63">
        <v>3E-05</v>
      </c>
      <c r="D183" s="63">
        <v>3E-05</v>
      </c>
      <c r="E183" s="78" t="s">
        <v>48</v>
      </c>
      <c r="G183" s="62">
        <v>19</v>
      </c>
      <c r="H183" s="63">
        <v>0.03</v>
      </c>
      <c r="I183" s="63">
        <v>0.03</v>
      </c>
      <c r="K183" s="23">
        <v>-1</v>
      </c>
      <c r="L183" s="63">
        <v>0.00033</v>
      </c>
      <c r="M183" s="63">
        <v>0.00033</v>
      </c>
      <c r="N183" s="63">
        <v>0.00033</v>
      </c>
    </row>
    <row r="184" spans="1:14" ht="12.75">
      <c r="A184" s="64">
        <v>-4</v>
      </c>
      <c r="B184" s="63">
        <v>3.2E-05</v>
      </c>
      <c r="C184" s="63">
        <v>3.2E-05</v>
      </c>
      <c r="D184" s="63">
        <v>3.2E-05</v>
      </c>
      <c r="E184" s="78" t="s">
        <v>48</v>
      </c>
      <c r="G184" s="62">
        <v>23</v>
      </c>
      <c r="H184" s="63">
        <v>0.032</v>
      </c>
      <c r="I184" s="63">
        <v>0.032</v>
      </c>
      <c r="K184" s="23">
        <v>3</v>
      </c>
      <c r="L184" s="63">
        <v>0.00044</v>
      </c>
      <c r="M184" s="63">
        <v>0.00044</v>
      </c>
      <c r="N184" s="63">
        <v>0.00044</v>
      </c>
    </row>
    <row r="185" spans="1:14" ht="12.75">
      <c r="A185" s="64">
        <v>10</v>
      </c>
      <c r="B185" s="63">
        <v>0.00027</v>
      </c>
      <c r="C185" s="63">
        <v>0.00027</v>
      </c>
      <c r="D185" s="63">
        <v>0.00027</v>
      </c>
      <c r="E185" s="78" t="s">
        <v>48</v>
      </c>
      <c r="G185" s="62">
        <v>44</v>
      </c>
      <c r="H185" s="63">
        <v>0.032</v>
      </c>
      <c r="I185" s="63">
        <v>0.032</v>
      </c>
      <c r="K185" s="23">
        <v>20</v>
      </c>
      <c r="L185" s="63">
        <v>0.0039</v>
      </c>
      <c r="M185" s="63">
        <v>0.0039</v>
      </c>
      <c r="N185" s="63">
        <v>0.0039</v>
      </c>
    </row>
    <row r="186" spans="1:14" ht="12.75">
      <c r="A186" s="23">
        <v>20</v>
      </c>
      <c r="B186" s="63">
        <v>0.00027</v>
      </c>
      <c r="C186" s="63">
        <v>0.00027</v>
      </c>
      <c r="D186" s="63">
        <v>0.00027</v>
      </c>
      <c r="E186" s="78" t="s">
        <v>48</v>
      </c>
      <c r="G186" s="62"/>
      <c r="K186" s="23">
        <v>30</v>
      </c>
      <c r="L186" s="63">
        <v>0.0039</v>
      </c>
      <c r="M186" s="63">
        <v>0.0039</v>
      </c>
      <c r="N186" s="63">
        <v>0.0039</v>
      </c>
    </row>
    <row r="189" spans="1:14" ht="12.75">
      <c r="A189" s="31" t="s">
        <v>37</v>
      </c>
      <c r="B189" s="23" t="s">
        <v>30</v>
      </c>
      <c r="C189" s="23" t="s">
        <v>31</v>
      </c>
      <c r="D189" s="23" t="s">
        <v>32</v>
      </c>
      <c r="E189" s="23" t="s">
        <v>33</v>
      </c>
      <c r="G189" s="62"/>
      <c r="H189" s="23" t="s">
        <v>54</v>
      </c>
      <c r="I189" s="23" t="s">
        <v>69</v>
      </c>
      <c r="L189" s="23" t="s">
        <v>67</v>
      </c>
      <c r="M189" s="23" t="s">
        <v>70</v>
      </c>
      <c r="N189" s="23" t="s">
        <v>71</v>
      </c>
    </row>
    <row r="190" spans="1:14" ht="12.75">
      <c r="A190" s="31">
        <v>-60</v>
      </c>
      <c r="B190" s="33" t="s">
        <v>48</v>
      </c>
      <c r="C190" s="33" t="s">
        <v>48</v>
      </c>
      <c r="D190" s="33" t="s">
        <v>48</v>
      </c>
      <c r="E190" s="33" t="s">
        <v>48</v>
      </c>
      <c r="G190" s="62"/>
      <c r="H190" s="33" t="s">
        <v>48</v>
      </c>
      <c r="I190" s="33" t="s">
        <v>48</v>
      </c>
      <c r="L190" s="33" t="s">
        <v>48</v>
      </c>
      <c r="M190" s="33" t="s">
        <v>48</v>
      </c>
      <c r="N190" s="33" t="s">
        <v>48</v>
      </c>
    </row>
    <row r="191" spans="1:14" ht="12.75">
      <c r="A191" s="23">
        <v>-38</v>
      </c>
      <c r="B191" s="63">
        <v>2.5E-08</v>
      </c>
      <c r="C191" s="63">
        <v>2.5E-08</v>
      </c>
      <c r="D191" s="63">
        <v>2.5E-08</v>
      </c>
      <c r="E191" s="63">
        <v>2.5E-08</v>
      </c>
      <c r="G191" s="62">
        <v>-8</v>
      </c>
      <c r="H191" s="63">
        <v>2.5E-05</v>
      </c>
      <c r="I191" s="63">
        <v>2.5E-05</v>
      </c>
      <c r="K191" s="23">
        <v>-28</v>
      </c>
      <c r="L191" s="63">
        <v>3E-07</v>
      </c>
      <c r="M191" s="63">
        <v>3E-07</v>
      </c>
      <c r="N191" s="63">
        <v>3E-07</v>
      </c>
    </row>
    <row r="192" spans="1:14" ht="12.75">
      <c r="A192" s="23">
        <v>-20</v>
      </c>
      <c r="B192" s="63">
        <v>2.3E-07</v>
      </c>
      <c r="C192" s="63">
        <v>2.3E-07</v>
      </c>
      <c r="D192" s="63">
        <v>2.3E-07</v>
      </c>
      <c r="E192" s="63">
        <v>2.3E-07</v>
      </c>
      <c r="G192" s="62">
        <v>10</v>
      </c>
      <c r="H192" s="63">
        <v>0.00023</v>
      </c>
      <c r="I192" s="63">
        <v>0.00023</v>
      </c>
      <c r="K192" s="23">
        <v>-10</v>
      </c>
      <c r="L192" s="63">
        <v>3E-06</v>
      </c>
      <c r="M192" s="63">
        <v>3E-06</v>
      </c>
      <c r="N192" s="63">
        <v>3E-06</v>
      </c>
    </row>
    <row r="193" spans="1:14" ht="12.75">
      <c r="A193" s="64">
        <v>-7.5</v>
      </c>
      <c r="B193" s="63">
        <v>1.9E-05</v>
      </c>
      <c r="C193" s="63">
        <v>1.9E-05</v>
      </c>
      <c r="D193" s="63">
        <v>1.9E-05</v>
      </c>
      <c r="E193" s="63">
        <v>1.9E-05</v>
      </c>
      <c r="G193" s="62">
        <v>19</v>
      </c>
      <c r="H193" s="63">
        <v>0.019</v>
      </c>
      <c r="I193" s="63">
        <v>0.019</v>
      </c>
      <c r="K193" s="23">
        <v>-1</v>
      </c>
      <c r="L193" s="63">
        <v>0.00019</v>
      </c>
      <c r="M193" s="63">
        <v>0.00019</v>
      </c>
      <c r="N193" s="63">
        <v>0.00019</v>
      </c>
    </row>
    <row r="194" spans="1:14" ht="12.75">
      <c r="A194" s="64">
        <v>-4</v>
      </c>
      <c r="B194" s="63">
        <v>2.4E-05</v>
      </c>
      <c r="C194" s="63">
        <v>2.4E-05</v>
      </c>
      <c r="D194" s="63">
        <v>2.4E-05</v>
      </c>
      <c r="E194" s="63">
        <v>2.4E-05</v>
      </c>
      <c r="G194" s="62">
        <v>23</v>
      </c>
      <c r="H194" s="63">
        <v>0.024</v>
      </c>
      <c r="I194" s="63">
        <v>0.024</v>
      </c>
      <c r="K194" s="23">
        <v>3</v>
      </c>
      <c r="L194" s="63">
        <v>0.0003</v>
      </c>
      <c r="M194" s="63">
        <v>0.0003</v>
      </c>
      <c r="N194" s="63">
        <v>0.0003</v>
      </c>
    </row>
    <row r="195" spans="1:14" ht="12.75">
      <c r="A195" s="23">
        <v>10</v>
      </c>
      <c r="B195" s="63">
        <v>0.00011</v>
      </c>
      <c r="C195" s="63">
        <v>0.00011</v>
      </c>
      <c r="D195" s="63">
        <v>0.00011</v>
      </c>
      <c r="E195" s="63">
        <v>0.00011</v>
      </c>
      <c r="G195" s="62">
        <v>44</v>
      </c>
      <c r="H195" s="63">
        <v>0.024</v>
      </c>
      <c r="I195" s="63">
        <v>0.024</v>
      </c>
      <c r="K195" s="23">
        <v>20</v>
      </c>
      <c r="L195" s="63">
        <v>0.0011</v>
      </c>
      <c r="M195" s="63">
        <v>0.0011</v>
      </c>
      <c r="N195" s="63">
        <v>0.0011</v>
      </c>
    </row>
    <row r="196" spans="1:14" ht="12.75">
      <c r="A196" s="23">
        <v>20</v>
      </c>
      <c r="B196" s="63">
        <v>0.00011</v>
      </c>
      <c r="C196" s="63">
        <v>0.00011</v>
      </c>
      <c r="D196" s="63">
        <v>0.00011</v>
      </c>
      <c r="E196" s="63">
        <v>0.00011</v>
      </c>
      <c r="G196" s="62"/>
      <c r="K196" s="23">
        <v>30</v>
      </c>
      <c r="L196" s="63">
        <v>0.0011</v>
      </c>
      <c r="M196" s="63">
        <v>0.0011</v>
      </c>
      <c r="N196" s="63">
        <v>0.0011</v>
      </c>
    </row>
    <row r="199" spans="1:14" ht="12.75">
      <c r="A199" s="31" t="s">
        <v>90</v>
      </c>
      <c r="B199" s="23" t="s">
        <v>30</v>
      </c>
      <c r="C199" s="23" t="s">
        <v>31</v>
      </c>
      <c r="D199" s="23" t="s">
        <v>32</v>
      </c>
      <c r="E199" s="23" t="s">
        <v>33</v>
      </c>
      <c r="G199" s="62"/>
      <c r="H199" s="23" t="s">
        <v>54</v>
      </c>
      <c r="I199" s="23" t="s">
        <v>69</v>
      </c>
      <c r="L199" s="23" t="s">
        <v>67</v>
      </c>
      <c r="M199" s="23" t="s">
        <v>70</v>
      </c>
      <c r="N199" s="23" t="s">
        <v>71</v>
      </c>
    </row>
    <row r="200" spans="1:14" ht="12.75">
      <c r="A200" s="23">
        <v>-60</v>
      </c>
      <c r="B200" s="33" t="s">
        <v>48</v>
      </c>
      <c r="C200" s="33" t="s">
        <v>48</v>
      </c>
      <c r="D200" s="33" t="s">
        <v>48</v>
      </c>
      <c r="E200" s="33" t="s">
        <v>48</v>
      </c>
      <c r="G200" s="62">
        <v>-30</v>
      </c>
      <c r="H200" s="33" t="s">
        <v>48</v>
      </c>
      <c r="I200" s="33" t="s">
        <v>48</v>
      </c>
      <c r="K200" s="23">
        <v>-50</v>
      </c>
      <c r="L200" s="33" t="s">
        <v>48</v>
      </c>
      <c r="M200" s="33" t="s">
        <v>48</v>
      </c>
      <c r="N200" s="33" t="s">
        <v>48</v>
      </c>
    </row>
    <row r="201" spans="1:14" ht="12.75">
      <c r="A201" s="23">
        <v>-38</v>
      </c>
      <c r="B201" s="63">
        <v>2.8E-08</v>
      </c>
      <c r="C201" s="63">
        <v>2.8E-08</v>
      </c>
      <c r="D201" s="63">
        <v>2.8E-08</v>
      </c>
      <c r="E201" s="63">
        <v>2.8E-08</v>
      </c>
      <c r="G201" s="62">
        <v>-8</v>
      </c>
      <c r="H201" s="63">
        <v>2.8E-05</v>
      </c>
      <c r="I201" s="63">
        <v>2.8E-05</v>
      </c>
      <c r="K201" s="23">
        <v>-28</v>
      </c>
      <c r="L201" s="63">
        <v>3.1E-07</v>
      </c>
      <c r="M201" s="63">
        <v>3.1E-07</v>
      </c>
      <c r="N201" s="63">
        <v>3.1E-07</v>
      </c>
    </row>
    <row r="202" spans="1:14" ht="12.75">
      <c r="A202" s="23">
        <v>-20</v>
      </c>
      <c r="B202" s="63">
        <v>3E-07</v>
      </c>
      <c r="C202" s="63">
        <v>3E-07</v>
      </c>
      <c r="D202" s="63">
        <v>3E-07</v>
      </c>
      <c r="E202" s="63">
        <v>3E-07</v>
      </c>
      <c r="G202" s="62">
        <v>10</v>
      </c>
      <c r="H202" s="63">
        <v>0.0003</v>
      </c>
      <c r="I202" s="63">
        <v>0.0003</v>
      </c>
      <c r="K202" s="23">
        <v>-10</v>
      </c>
      <c r="L202" s="63">
        <v>5E-06</v>
      </c>
      <c r="M202" s="63">
        <v>5E-06</v>
      </c>
      <c r="N202" s="63">
        <v>5E-06</v>
      </c>
    </row>
    <row r="203" spans="1:14" ht="12.75">
      <c r="A203" s="64">
        <v>-7.5</v>
      </c>
      <c r="B203" s="63">
        <v>2E-05</v>
      </c>
      <c r="C203" s="63">
        <v>2E-05</v>
      </c>
      <c r="D203" s="63">
        <v>2E-05</v>
      </c>
      <c r="E203" s="63">
        <v>2E-05</v>
      </c>
      <c r="G203" s="62">
        <v>19</v>
      </c>
      <c r="H203" s="63">
        <v>0.02</v>
      </c>
      <c r="I203" s="63">
        <v>0.02</v>
      </c>
      <c r="K203" s="23">
        <v>-1</v>
      </c>
      <c r="L203" s="63">
        <v>0.00023</v>
      </c>
      <c r="M203" s="63">
        <v>0.00023</v>
      </c>
      <c r="N203" s="63">
        <v>0.00023</v>
      </c>
    </row>
    <row r="204" spans="1:14" ht="12.75">
      <c r="A204" s="64">
        <v>-4</v>
      </c>
      <c r="B204" s="63">
        <v>2.1E-05</v>
      </c>
      <c r="C204" s="63">
        <v>2.1E-05</v>
      </c>
      <c r="D204" s="63">
        <v>2.1E-05</v>
      </c>
      <c r="E204" s="63">
        <v>2.1E-05</v>
      </c>
      <c r="G204" s="62">
        <v>23</v>
      </c>
      <c r="H204" s="63">
        <v>0.021</v>
      </c>
      <c r="I204" s="63">
        <v>0.021</v>
      </c>
      <c r="K204" s="23">
        <v>3</v>
      </c>
      <c r="L204" s="63">
        <v>0.00026</v>
      </c>
      <c r="M204" s="63">
        <v>0.00026</v>
      </c>
      <c r="N204" s="63">
        <v>0.00026</v>
      </c>
    </row>
    <row r="205" spans="1:14" ht="12.75">
      <c r="A205" s="23">
        <v>10</v>
      </c>
      <c r="B205" s="63">
        <v>0.00018</v>
      </c>
      <c r="C205" s="63">
        <v>0.00018</v>
      </c>
      <c r="D205" s="63">
        <v>0.00018</v>
      </c>
      <c r="E205" s="63">
        <v>0.00018</v>
      </c>
      <c r="G205" s="62">
        <v>44</v>
      </c>
      <c r="H205" s="63">
        <v>0.021</v>
      </c>
      <c r="I205" s="63">
        <v>0.021</v>
      </c>
      <c r="K205" s="23">
        <v>20</v>
      </c>
      <c r="L205" s="63">
        <v>0.0028</v>
      </c>
      <c r="M205" s="63">
        <v>0.0028</v>
      </c>
      <c r="N205" s="63">
        <v>0.0028</v>
      </c>
    </row>
    <row r="206" spans="1:14" ht="12.75">
      <c r="A206" s="23">
        <v>20</v>
      </c>
      <c r="B206" s="63">
        <v>0.00018</v>
      </c>
      <c r="C206" s="63">
        <v>0.00018</v>
      </c>
      <c r="D206" s="63">
        <v>0.00018</v>
      </c>
      <c r="E206" s="63">
        <v>0.00018</v>
      </c>
      <c r="G206" s="62"/>
      <c r="K206" s="23">
        <v>30</v>
      </c>
      <c r="L206" s="63">
        <v>0.0028</v>
      </c>
      <c r="M206" s="63">
        <v>0.0028</v>
      </c>
      <c r="N206" s="63">
        <v>0.0028</v>
      </c>
    </row>
    <row r="208" ht="12.75">
      <c r="B208" s="33" t="s">
        <v>84</v>
      </c>
    </row>
    <row r="209" spans="1:14" ht="12.75">
      <c r="A209" s="31" t="s">
        <v>85</v>
      </c>
      <c r="B209" s="23" t="s">
        <v>30</v>
      </c>
      <c r="C209" s="23" t="s">
        <v>31</v>
      </c>
      <c r="D209" s="23" t="s">
        <v>32</v>
      </c>
      <c r="E209" s="23" t="s">
        <v>33</v>
      </c>
      <c r="G209" s="62"/>
      <c r="H209" s="23" t="s">
        <v>54</v>
      </c>
      <c r="I209" s="23" t="s">
        <v>69</v>
      </c>
      <c r="L209" s="23" t="s">
        <v>67</v>
      </c>
      <c r="M209" s="23" t="s">
        <v>70</v>
      </c>
      <c r="N209" s="23" t="s">
        <v>71</v>
      </c>
    </row>
    <row r="210" spans="1:14" ht="12.75">
      <c r="A210" s="23">
        <v>-60</v>
      </c>
      <c r="B210" s="33" t="s">
        <v>48</v>
      </c>
      <c r="C210" s="33" t="s">
        <v>48</v>
      </c>
      <c r="D210" s="33" t="s">
        <v>48</v>
      </c>
      <c r="E210" s="33" t="s">
        <v>48</v>
      </c>
      <c r="G210" s="62">
        <v>-30</v>
      </c>
      <c r="H210" s="33" t="s">
        <v>48</v>
      </c>
      <c r="I210" s="33" t="s">
        <v>48</v>
      </c>
      <c r="K210" s="23">
        <v>-50</v>
      </c>
      <c r="L210" s="33" t="s">
        <v>48</v>
      </c>
      <c r="M210" s="33" t="s">
        <v>48</v>
      </c>
      <c r="N210" s="33" t="s">
        <v>48</v>
      </c>
    </row>
    <row r="211" spans="1:14" ht="12.75">
      <c r="A211" s="23">
        <v>-38</v>
      </c>
      <c r="B211" s="63">
        <v>9E-08</v>
      </c>
      <c r="C211" s="63">
        <v>9E-08</v>
      </c>
      <c r="D211" s="63">
        <v>9E-08</v>
      </c>
      <c r="E211" s="63">
        <v>9E-08</v>
      </c>
      <c r="G211" s="62">
        <v>-8</v>
      </c>
      <c r="H211" s="63">
        <v>9E-05</v>
      </c>
      <c r="I211" s="63">
        <v>9E-05</v>
      </c>
      <c r="K211" s="23">
        <v>-28</v>
      </c>
      <c r="L211" s="63">
        <v>0.0009</v>
      </c>
      <c r="M211" s="63">
        <v>0.0009</v>
      </c>
      <c r="N211" s="63">
        <v>0.0009</v>
      </c>
    </row>
    <row r="212" spans="1:14" ht="12.75">
      <c r="A212" s="23">
        <v>-20</v>
      </c>
      <c r="B212" s="63">
        <v>1E-06</v>
      </c>
      <c r="C212" s="63">
        <v>1E-06</v>
      </c>
      <c r="D212" s="63">
        <v>1E-06</v>
      </c>
      <c r="E212" s="63">
        <v>1E-06</v>
      </c>
      <c r="G212" s="62">
        <v>10</v>
      </c>
      <c r="H212" s="63">
        <v>0.001</v>
      </c>
      <c r="I212" s="63">
        <v>0.001</v>
      </c>
      <c r="K212" s="23">
        <v>-10</v>
      </c>
      <c r="L212" s="63">
        <v>1E-05</v>
      </c>
      <c r="M212" s="63">
        <v>1E-05</v>
      </c>
      <c r="N212" s="63">
        <v>1E-05</v>
      </c>
    </row>
    <row r="213" spans="1:14" ht="12.75">
      <c r="A213" s="64">
        <v>-7.5</v>
      </c>
      <c r="B213" s="63">
        <v>5.5E-05</v>
      </c>
      <c r="C213" s="63">
        <v>5.5E-05</v>
      </c>
      <c r="D213" s="63">
        <v>5.5E-05</v>
      </c>
      <c r="E213" s="63">
        <v>5.5E-05</v>
      </c>
      <c r="G213" s="62">
        <v>19</v>
      </c>
      <c r="H213" s="63">
        <v>0.055</v>
      </c>
      <c r="I213" s="63">
        <v>0.055</v>
      </c>
      <c r="K213" s="23">
        <v>-1</v>
      </c>
      <c r="L213" s="63">
        <v>0.00055</v>
      </c>
      <c r="M213" s="63">
        <v>0.00055</v>
      </c>
      <c r="N213" s="63">
        <v>0.00055</v>
      </c>
    </row>
    <row r="214" spans="1:14" ht="12.75">
      <c r="A214" s="64">
        <v>-4</v>
      </c>
      <c r="B214" s="63">
        <v>8.5E-05</v>
      </c>
      <c r="C214" s="63">
        <v>8.5E-05</v>
      </c>
      <c r="D214" s="63">
        <v>8.5E-05</v>
      </c>
      <c r="E214" s="63">
        <v>8.5E-05</v>
      </c>
      <c r="G214" s="62">
        <v>23</v>
      </c>
      <c r="H214" s="63">
        <v>0.085</v>
      </c>
      <c r="I214" s="63">
        <v>0.085</v>
      </c>
      <c r="K214" s="23">
        <v>3</v>
      </c>
      <c r="L214" s="63">
        <v>0.00085</v>
      </c>
      <c r="M214" s="63">
        <v>0.00085</v>
      </c>
      <c r="N214" s="63">
        <v>0.00085</v>
      </c>
    </row>
    <row r="215" spans="1:14" ht="12.75">
      <c r="A215" s="23">
        <v>10</v>
      </c>
      <c r="B215" s="63">
        <v>0.00055</v>
      </c>
      <c r="C215" s="63">
        <v>0.00055</v>
      </c>
      <c r="D215" s="63">
        <v>0.00055</v>
      </c>
      <c r="E215" s="63">
        <v>0.00055</v>
      </c>
      <c r="G215" s="62">
        <v>44</v>
      </c>
      <c r="H215" s="63">
        <v>0.085</v>
      </c>
      <c r="I215" s="63">
        <v>0.085</v>
      </c>
      <c r="K215" s="23">
        <v>20</v>
      </c>
      <c r="L215" s="63">
        <v>0.0055</v>
      </c>
      <c r="M215" s="63">
        <v>0.0055</v>
      </c>
      <c r="N215" s="63">
        <v>0.0055</v>
      </c>
    </row>
    <row r="216" spans="1:14" ht="12.75">
      <c r="A216" s="23">
        <v>20</v>
      </c>
      <c r="B216" s="63">
        <v>0.00055</v>
      </c>
      <c r="C216" s="63">
        <v>0.00055</v>
      </c>
      <c r="D216" s="63">
        <v>0.00055</v>
      </c>
      <c r="E216" s="63">
        <v>0.00055</v>
      </c>
      <c r="G216" s="62"/>
      <c r="K216" s="23">
        <v>30</v>
      </c>
      <c r="L216" s="63">
        <v>0.0055</v>
      </c>
      <c r="M216" s="63">
        <v>0.0055</v>
      </c>
      <c r="N216" s="63">
        <v>0.0055</v>
      </c>
    </row>
    <row r="219" ht="12.75">
      <c r="A219" s="31" t="s">
        <v>90</v>
      </c>
    </row>
    <row r="220" spans="1:3" ht="12.75">
      <c r="A220" s="33" t="s">
        <v>87</v>
      </c>
      <c r="B220" s="74">
        <f>C220*B131</f>
        <v>1.5E-08</v>
      </c>
      <c r="C220" s="74">
        <f>IF(OR((calculator!B5="U2000A"),(calculator!B5="U2001A"),(calculator!B5="U2002A"),calculator!B5=("U2004A")),INDEX(Data!A71:E78,MATCH(calculator!B7,Data!A71:A78,1),MATCH(calculator!B5,Data!A71:E71,0)),(IF(OR((calculator!B5="U2000B"),(calculator!B5="U2001B")),INDEX(Data!G71:I77,MATCH(calculator!B7,Data!G71:G77,1),MATCH(calculator!B5,Data!G71:I71,0)),(INDEX(Data!K71:N78,MATCH(calculator!B7,Data!K71:K78,1),MATCH(calculator!B5,Data!K71:N71,0))))))</f>
        <v>1.5E-08</v>
      </c>
    </row>
    <row r="221" spans="1:2" ht="12.75">
      <c r="A221" s="33" t="s">
        <v>93</v>
      </c>
      <c r="B221" s="74">
        <f>IF(calculator!B12&lt;2.73,MAX(Data!B222,B225),MAX(Data!B223,B225))</f>
        <v>3E-07</v>
      </c>
    </row>
    <row r="222" spans="1:3" ht="12.75">
      <c r="A222" s="33" t="s">
        <v>91</v>
      </c>
      <c r="B222" s="74">
        <f>C222*(1/SQRT(calculator!B8))</f>
        <v>2.5E-07</v>
      </c>
      <c r="C222" s="74">
        <f>IF(OR((calculator!B5="U2000A"),(calculator!B5="U2001A"),(calculator!B5="U2002A"),calculator!B5=("U2004A")),INDEX(A209:E216,MATCH(calculator!B7,A209:A216,1),MATCH(calculator!B5,A209:E209,0)),(IF(OR((calculator!B5="U2000B"),(calculator!B5="U2001B")),INDEX(G209:I215,MATCH(calculator!B7,G209:G215,1),MATCH(calculator!B5,G209:I209,0)),(INDEX(K209:N216,MATCH(calculator!B7,K209:K216,1),MATCH(calculator!B5,K209:N209,0))))))</f>
        <v>1E-06</v>
      </c>
    </row>
    <row r="223" spans="1:2" ht="12.75">
      <c r="A223" s="33" t="s">
        <v>92</v>
      </c>
      <c r="B223" s="23">
        <f>B222*(4/(calculator!B12/0.68))^0.25</f>
        <v>4.800922947020939E-08</v>
      </c>
    </row>
    <row r="225" spans="1:2" ht="12.75">
      <c r="A225" s="33" t="s">
        <v>99</v>
      </c>
      <c r="B225" s="74">
        <f>IF(OR((calculator!B5="U2000A"),(calculator!B5="U2001A"),(calculator!B5="U2002A"),calculator!A5=("U2004A")),INDEX(A199:E206,MATCH(calculator!B7,A199:A206,1),MATCH(calculator!B5,A199:E199,0)),(IF(OR((calculator!B5="U2000B"),(calculator!B5="U2001B")),INDEX(G199:I205,MATCH(calculator!B7,G199:G205,1),MATCH(calculator!B5,G199:I199,0)),(INDEX(K199:N206,MATCH(calculator!B7,K199:K206,1),MATCH(calculator!B5,K199:N199,0))))))</f>
        <v>3E-07</v>
      </c>
    </row>
    <row r="228" ht="12.75">
      <c r="A228" s="81" t="s">
        <v>134</v>
      </c>
    </row>
    <row r="229" spans="1:2" ht="12.75">
      <c r="A229" s="23" t="s">
        <v>43</v>
      </c>
      <c r="B229" s="63">
        <v>2.5E-08</v>
      </c>
    </row>
    <row r="230" spans="1:2" ht="12.75">
      <c r="A230" s="33" t="s">
        <v>41</v>
      </c>
      <c r="B230" s="63">
        <v>5.5E-09</v>
      </c>
    </row>
    <row r="231" spans="1:6" ht="12.75">
      <c r="A231" s="33" t="s">
        <v>90</v>
      </c>
      <c r="B231" s="63">
        <v>4.5E-08</v>
      </c>
      <c r="E231" s="33"/>
      <c r="F231" s="63"/>
    </row>
    <row r="232" spans="1:2" ht="12.75">
      <c r="A232" s="33" t="s">
        <v>135</v>
      </c>
      <c r="B232" s="23">
        <f>IF(calculator!B9="Normal",VLOOKUP(calculator!B8,Data!A237:B247,2,TRUE),IF(calculator!B9="x2",VLOOKUP(calculator!B8,Data!A237:C247,3,TRUE),VLOOKUP(calculator!B8,Data!A237:D247,4,TRUE)))</f>
        <v>1</v>
      </c>
    </row>
    <row r="235" spans="2:4" ht="12.75">
      <c r="B235" s="33" t="s">
        <v>119</v>
      </c>
      <c r="C235" s="33" t="s">
        <v>119</v>
      </c>
      <c r="D235" s="33" t="s">
        <v>117</v>
      </c>
    </row>
    <row r="236" spans="1:4" ht="12.75">
      <c r="A236" s="55" t="s">
        <v>39</v>
      </c>
      <c r="B236" s="56" t="s">
        <v>49</v>
      </c>
      <c r="C236" s="57" t="s">
        <v>50</v>
      </c>
      <c r="D236" s="57" t="s">
        <v>120</v>
      </c>
    </row>
    <row r="237" spans="1:4" ht="12.75">
      <c r="A237" s="55">
        <v>1</v>
      </c>
      <c r="B237" s="55">
        <v>3.17</v>
      </c>
      <c r="C237" s="55">
        <v>4.55</v>
      </c>
      <c r="D237" s="55">
        <v>46.88</v>
      </c>
    </row>
    <row r="238" spans="1:4" ht="12.75">
      <c r="A238" s="55">
        <v>2</v>
      </c>
      <c r="B238" s="55">
        <v>2.62</v>
      </c>
      <c r="C238" s="55">
        <v>3.76</v>
      </c>
      <c r="D238" s="55">
        <v>33.06</v>
      </c>
    </row>
    <row r="239" spans="1:4" ht="12.75">
      <c r="A239" s="55">
        <v>4</v>
      </c>
      <c r="B239" s="55">
        <v>2.02</v>
      </c>
      <c r="C239" s="55">
        <v>3</v>
      </c>
      <c r="D239" s="55">
        <v>24</v>
      </c>
    </row>
    <row r="240" spans="1:4" ht="12.75">
      <c r="A240" s="55">
        <v>8</v>
      </c>
      <c r="B240" s="55">
        <v>1.54</v>
      </c>
      <c r="C240" s="55">
        <v>2.25</v>
      </c>
      <c r="D240" s="55">
        <v>17.19</v>
      </c>
    </row>
    <row r="241" spans="1:4" ht="12.75">
      <c r="A241" s="55">
        <v>16</v>
      </c>
      <c r="B241" s="55">
        <v>1</v>
      </c>
      <c r="C241" s="55">
        <v>1.59</v>
      </c>
      <c r="D241" s="55">
        <v>12.24</v>
      </c>
    </row>
    <row r="242" spans="1:4" ht="12.75">
      <c r="A242" s="55">
        <v>32</v>
      </c>
      <c r="B242" s="55">
        <v>0.82</v>
      </c>
      <c r="C242" s="55">
        <v>1</v>
      </c>
      <c r="D242" s="55">
        <v>8.39</v>
      </c>
    </row>
    <row r="243" spans="1:4" ht="12.75">
      <c r="A243" s="55">
        <v>64</v>
      </c>
      <c r="B243" s="55">
        <v>0.6</v>
      </c>
      <c r="C243" s="55">
        <v>0.85</v>
      </c>
      <c r="D243" s="55">
        <v>4.93</v>
      </c>
    </row>
    <row r="244" spans="1:4" ht="12.75">
      <c r="A244" s="55">
        <v>128</v>
      </c>
      <c r="B244" s="55">
        <v>0.5</v>
      </c>
      <c r="C244" s="55">
        <v>0.63</v>
      </c>
      <c r="D244" s="55">
        <v>4.11</v>
      </c>
    </row>
    <row r="245" spans="1:4" ht="12.75">
      <c r="A245" s="55">
        <v>256</v>
      </c>
      <c r="B245" s="55">
        <v>0.37</v>
      </c>
      <c r="C245" s="55">
        <v>0.47</v>
      </c>
      <c r="D245" s="55">
        <v>2.48</v>
      </c>
    </row>
    <row r="246" spans="1:4" ht="12.75">
      <c r="A246" s="55">
        <v>512</v>
      </c>
      <c r="B246" s="55">
        <v>0.27</v>
      </c>
      <c r="C246" s="55">
        <v>0.42</v>
      </c>
      <c r="D246" s="55">
        <v>1</v>
      </c>
    </row>
    <row r="247" spans="1:4" ht="12.75">
      <c r="A247" s="55">
        <v>1024</v>
      </c>
      <c r="B247" s="55">
        <v>0.15</v>
      </c>
      <c r="C247" s="55">
        <v>0.23</v>
      </c>
      <c r="D247" s="55">
        <v>0.83</v>
      </c>
    </row>
  </sheetData>
  <sheetProtection password="EC3E" sheet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2.00390625" style="0" customWidth="1"/>
  </cols>
  <sheetData>
    <row r="1" spans="1:3" ht="12.75">
      <c r="A1" s="23" t="s">
        <v>95</v>
      </c>
      <c r="B1" s="23" t="s">
        <v>96</v>
      </c>
      <c r="C1" s="23"/>
    </row>
    <row r="2" spans="1:3" ht="12.75">
      <c r="A2" s="23" t="s">
        <v>53</v>
      </c>
      <c r="B2" s="23" t="s">
        <v>97</v>
      </c>
      <c r="C2" s="23"/>
    </row>
    <row r="3" spans="1:3" ht="12.75">
      <c r="A3" s="23" t="s">
        <v>98</v>
      </c>
      <c r="B3" s="33" t="s">
        <v>104</v>
      </c>
      <c r="C3" s="23"/>
    </row>
    <row r="4" spans="1:3" ht="12.75">
      <c r="A4" s="23" t="s">
        <v>103</v>
      </c>
      <c r="B4" s="33" t="s">
        <v>105</v>
      </c>
      <c r="C4" s="23"/>
    </row>
    <row r="5" spans="1:3" ht="12.75">
      <c r="A5" s="23" t="s">
        <v>101</v>
      </c>
      <c r="B5" s="23" t="s">
        <v>102</v>
      </c>
      <c r="C5" s="23"/>
    </row>
    <row r="6" spans="1:3" ht="12.75">
      <c r="A6" s="33" t="s">
        <v>106</v>
      </c>
      <c r="B6" s="33" t="s">
        <v>107</v>
      </c>
      <c r="C6" s="23"/>
    </row>
    <row r="7" spans="1:3" ht="12.75">
      <c r="A7" s="33" t="s">
        <v>108</v>
      </c>
      <c r="B7" s="33" t="s">
        <v>109</v>
      </c>
      <c r="C7" s="23"/>
    </row>
    <row r="8" spans="1:3" ht="12.75">
      <c r="A8" s="33" t="s">
        <v>125</v>
      </c>
      <c r="B8" s="33" t="s">
        <v>139</v>
      </c>
      <c r="C8" s="23"/>
    </row>
  </sheetData>
  <sheetProtection password="EC3E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sookhua</dc:creator>
  <cp:keywords/>
  <dc:description/>
  <cp:lastModifiedBy>Administrator</cp:lastModifiedBy>
  <dcterms:created xsi:type="dcterms:W3CDTF">2007-11-27T09:47:28Z</dcterms:created>
  <dcterms:modified xsi:type="dcterms:W3CDTF">2014-03-05T06:31:00Z</dcterms:modified>
  <cp:category/>
  <cp:version/>
  <cp:contentType/>
  <cp:contentStatus/>
</cp:coreProperties>
</file>