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05" windowWidth="7200" windowHeight="12135" activeTab="1"/>
  </bookViews>
  <sheets>
    <sheet name="Legend" sheetId="6" r:id="rId1"/>
    <sheet name="TIPD188 Total Error Analysis" sheetId="9" r:id="rId2"/>
    <sheet name="ADS126x Noise Table" sheetId="11" r:id="rId3"/>
  </sheets>
  <definedNames>
    <definedName name="_xlnm._FilterDatabase" localSheetId="1" hidden="1">'TIPD188 Total Error Analysis'!$O$24</definedName>
  </definedNames>
  <calcPr calcId="145621"/>
</workbook>
</file>

<file path=xl/calcChain.xml><?xml version="1.0" encoding="utf-8"?>
<calcChain xmlns="http://schemas.openxmlformats.org/spreadsheetml/2006/main">
  <c r="C32" i="9" l="1"/>
  <c r="C23" i="9" l="1"/>
  <c r="C26" i="9"/>
  <c r="C15" i="9" l="1"/>
  <c r="C44" i="9" l="1"/>
  <c r="C42" i="9" l="1"/>
  <c r="C40" i="9"/>
  <c r="F44" i="9" l="1"/>
  <c r="I44" i="9" s="1"/>
  <c r="L42" i="9"/>
  <c r="F38" i="9"/>
  <c r="L44" i="9"/>
  <c r="F42" i="9"/>
  <c r="I42" i="9" s="1"/>
  <c r="C30" i="9"/>
  <c r="C28" i="9"/>
  <c r="F40" i="9" l="1"/>
  <c r="C34" i="9"/>
  <c r="C11" i="9"/>
  <c r="C16" i="9" l="1"/>
  <c r="C17" i="9" s="1"/>
  <c r="C18" i="9"/>
  <c r="C19" i="9" s="1"/>
  <c r="F28" i="9"/>
  <c r="F30" i="9"/>
  <c r="C12" i="9"/>
  <c r="C36" i="9"/>
  <c r="B20" i="6"/>
  <c r="C24" i="9" l="1"/>
  <c r="F32" i="9"/>
  <c r="I30" i="9"/>
  <c r="F36" i="9"/>
  <c r="L36" i="9" s="1"/>
  <c r="B24" i="6"/>
  <c r="B15" i="6"/>
  <c r="B16" i="6" s="1"/>
  <c r="L34" i="9" l="1"/>
  <c r="L51" i="9" s="1"/>
  <c r="F34" i="9"/>
  <c r="I36" i="9"/>
  <c r="I34" i="9" l="1"/>
  <c r="F51" i="9"/>
  <c r="F48" i="9"/>
  <c r="C27" i="9"/>
  <c r="I51" i="9" l="1"/>
  <c r="I48" i="9"/>
  <c r="C29" i="9"/>
  <c r="I28" i="9" s="1"/>
  <c r="C33" i="9"/>
  <c r="I32" i="9" l="1"/>
  <c r="L32" i="9" s="1"/>
  <c r="L28" i="9"/>
  <c r="F27" i="9"/>
  <c r="F49" i="9" s="1"/>
  <c r="L30" i="9"/>
  <c r="L48" i="9" s="1"/>
  <c r="F46" i="9" l="1"/>
  <c r="F47" i="9" s="1"/>
  <c r="F50" i="9"/>
  <c r="I27" i="9"/>
  <c r="I49" i="9" s="1"/>
  <c r="I50" i="9" l="1"/>
  <c r="I46" i="9"/>
  <c r="L27" i="9"/>
  <c r="L49" i="9" s="1"/>
  <c r="I47" i="9" l="1"/>
  <c r="L50" i="9"/>
  <c r="L46" i="9"/>
  <c r="L47" i="9" s="1"/>
</calcChain>
</file>

<file path=xl/sharedStrings.xml><?xml version="1.0" encoding="utf-8"?>
<sst xmlns="http://schemas.openxmlformats.org/spreadsheetml/2006/main" count="351" uniqueCount="118">
  <si>
    <t>Color Legend</t>
  </si>
  <si>
    <t>Insert parameter</t>
  </si>
  <si>
    <t>&lt;value&gt;</t>
  </si>
  <si>
    <t>Calculated Value - Conditions Satisfied</t>
  </si>
  <si>
    <t>Calculated Value - Conditions NOT Satisfied</t>
  </si>
  <si>
    <t>Calculated Value</t>
  </si>
  <si>
    <t>PGA GAIN</t>
  </si>
  <si>
    <t>(V/V)</t>
  </si>
  <si>
    <t>AVDD</t>
  </si>
  <si>
    <t>(V)</t>
  </si>
  <si>
    <t>AVSS</t>
  </si>
  <si>
    <r>
      <t>(</t>
    </r>
    <r>
      <rPr>
        <b/>
        <sz val="11"/>
        <color theme="1"/>
        <rFont val="Calibri"/>
        <family val="2"/>
      </rPr>
      <t>Ω)</t>
    </r>
  </si>
  <si>
    <t>(%)</t>
  </si>
  <si>
    <t>(ppm)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</si>
  <si>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REF</t>
    </r>
  </si>
  <si>
    <t>ADS1262 PARAMETERS</t>
  </si>
  <si>
    <t>SINC5</t>
  </si>
  <si>
    <t>38400 SPS</t>
  </si>
  <si>
    <t>19200 SPS</t>
  </si>
  <si>
    <t>14400 SPS</t>
  </si>
  <si>
    <t>SINC4</t>
  </si>
  <si>
    <t>7200 SPS</t>
  </si>
  <si>
    <t>SINC3</t>
  </si>
  <si>
    <t>SINC2</t>
  </si>
  <si>
    <t>SINC1</t>
  </si>
  <si>
    <t>4800 SPS</t>
  </si>
  <si>
    <t>2400 SPS</t>
  </si>
  <si>
    <t>1200 SPS</t>
  </si>
  <si>
    <t>400 SPS</t>
  </si>
  <si>
    <t>100 SPS</t>
  </si>
  <si>
    <t>60 SPS</t>
  </si>
  <si>
    <t>50 SPS</t>
  </si>
  <si>
    <t>20 SPS</t>
  </si>
  <si>
    <t>FIR</t>
  </si>
  <si>
    <t>16.6 SPS</t>
  </si>
  <si>
    <t>10 SPS</t>
  </si>
  <si>
    <t>5 SPS</t>
  </si>
  <si>
    <t>2.5 SPS</t>
  </si>
  <si>
    <t>FILTER</t>
  </si>
  <si>
    <t>DATA RATE</t>
  </si>
  <si>
    <t>GAIN</t>
  </si>
  <si>
    <t>Data Rate</t>
  </si>
  <si>
    <t>Filter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</si>
  <si>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 xml:space="preserve"> V</t>
    </r>
    <r>
      <rPr>
        <b/>
        <vertAlign val="subscript"/>
        <sz val="11"/>
        <color theme="1"/>
        <rFont val="Calibri"/>
        <family val="2"/>
        <scheme val="minor"/>
      </rPr>
      <t>IN</t>
    </r>
  </si>
  <si>
    <t>Bits</t>
  </si>
  <si>
    <r>
      <t>(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°C)</t>
    </r>
  </si>
  <si>
    <t>ADC Noise Resolution</t>
  </si>
  <si>
    <t>Data Rate (SPS)</t>
  </si>
  <si>
    <t>Equivalent Brickwall Filter* Bandwidth (Hz)</t>
  </si>
  <si>
    <t>-</t>
  </si>
  <si>
    <t>*Integrated frequency response up to 120kHz with 0.1Hz resolution</t>
  </si>
  <si>
    <t>Noise</t>
  </si>
  <si>
    <t>FSR</t>
  </si>
  <si>
    <t>ADC Noise RTI</t>
  </si>
  <si>
    <r>
      <t>(</t>
    </r>
    <r>
      <rPr>
        <b/>
        <sz val="11"/>
        <color theme="1"/>
        <rFont val="Calibri"/>
        <family val="2"/>
      </rPr>
      <t>u</t>
    </r>
    <r>
      <rPr>
        <b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</si>
  <si>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>Calculators</t>
  </si>
  <si>
    <t>Bits to PPM to %FS</t>
  </si>
  <si>
    <t>[Bits]</t>
  </si>
  <si>
    <t>[ppm]</t>
  </si>
  <si>
    <t>[%]</t>
  </si>
  <si>
    <t>% to ppm</t>
  </si>
  <si>
    <t>ppm to %</t>
  </si>
  <si>
    <t>Offset Drift</t>
  </si>
  <si>
    <t>Gain Error Drift</t>
  </si>
  <si>
    <t>System Temperature Range</t>
  </si>
  <si>
    <t>(nV/ᵒC)</t>
  </si>
  <si>
    <t>(ppm/ᵒC)</t>
  </si>
  <si>
    <t>Before Calibraion</t>
  </si>
  <si>
    <t>After Calibraion</t>
  </si>
  <si>
    <t>INL</t>
  </si>
  <si>
    <t>Offset                 (Before Cal)</t>
  </si>
  <si>
    <t xml:space="preserve">                              (After Cal)</t>
  </si>
  <si>
    <t>Gain Error           (Before Cal)</t>
  </si>
  <si>
    <t>(nA)</t>
  </si>
  <si>
    <r>
      <t xml:space="preserve">  ←   Gain error (V</t>
    </r>
    <r>
      <rPr>
        <b/>
        <vertAlign val="subscript"/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dependant)</t>
    </r>
  </si>
  <si>
    <r>
      <t>(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</si>
  <si>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Temp Comp.</t>
  </si>
  <si>
    <t>Full-Scale Range Utilization</t>
  </si>
  <si>
    <t>Temperature Dependant Parameter/Input</t>
  </si>
  <si>
    <t>Key Parameter</t>
  </si>
  <si>
    <t>Insert Key Parameter</t>
  </si>
  <si>
    <r>
      <rPr>
        <b/>
        <sz val="11"/>
        <color theme="1"/>
        <rFont val="Calibri"/>
        <family val="2"/>
      </rPr>
      <t>n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P-P</t>
    </r>
  </si>
  <si>
    <t>Error Type</t>
  </si>
  <si>
    <t>TYP</t>
  </si>
  <si>
    <r>
      <t>(</t>
    </r>
    <r>
      <rPr>
        <b/>
        <sz val="11"/>
        <color theme="1"/>
        <rFont val="Calibri"/>
        <family val="2"/>
      </rPr>
      <t>n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P-P</t>
    </r>
    <r>
      <rPr>
        <b/>
        <sz val="11"/>
        <color theme="1"/>
        <rFont val="Calibri"/>
        <family val="2"/>
        <scheme val="minor"/>
      </rPr>
      <t>)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</si>
  <si>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BRIDE</t>
    </r>
    <r>
      <rPr>
        <b/>
        <sz val="11"/>
        <color theme="1"/>
        <rFont val="Calibri"/>
        <family val="2"/>
        <scheme val="minor"/>
      </rPr>
      <t xml:space="preserve"> NOMINAL</t>
    </r>
  </si>
  <si>
    <t>Counts</t>
  </si>
  <si>
    <t>Input Utilization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</si>
  <si>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>REF</t>
    </r>
    <r>
      <rPr>
        <b/>
        <sz val="11"/>
        <color theme="1"/>
        <rFont val="Calibri"/>
        <family val="2"/>
        <scheme val="minor"/>
      </rPr>
      <t xml:space="preserve"> Bias Current Offset</t>
    </r>
  </si>
  <si>
    <t>nV</t>
  </si>
  <si>
    <t>(R Tolerance)</t>
  </si>
  <si>
    <t>(nV)</t>
  </si>
  <si>
    <t>(Temp Coeff.)</t>
  </si>
  <si>
    <t>REF Resistor Mismatch Offset</t>
  </si>
  <si>
    <t>REF Resistor Mismatch Offset Drift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</si>
  <si>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>REF</t>
    </r>
    <r>
      <rPr>
        <b/>
        <sz val="11"/>
        <color theme="1"/>
        <rFont val="Calibri"/>
        <family val="2"/>
        <scheme val="minor"/>
      </rPr>
      <t xml:space="preserve"> Absolute Bias Current</t>
    </r>
  </si>
  <si>
    <t xml:space="preserve">  ←  Offset Error</t>
  </si>
  <si>
    <t>(nA/ᵒC)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</si>
  <si>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>INPUT</t>
    </r>
    <r>
      <rPr>
        <b/>
        <sz val="11"/>
        <color theme="1"/>
        <rFont val="Calibri"/>
        <family val="2"/>
        <scheme val="minor"/>
      </rPr>
      <t xml:space="preserve"> Current Error is Insignificant</t>
    </r>
  </si>
  <si>
    <t xml:space="preserve">  ←  Offset Error (Temp-Dependent)</t>
  </si>
  <si>
    <t>(REF Input Filter R)</t>
  </si>
  <si>
    <t xml:space="preserve">  ←  Gain Error</t>
  </si>
  <si>
    <t xml:space="preserve">  ←  Gain Error (Resistor/Current-Dependent)</t>
  </si>
  <si>
    <t xml:space="preserve">  ←  Gain Error (Resistance-Temp-Dependent)</t>
  </si>
  <si>
    <t xml:space="preserve">  ←  Gain Error (Current-Temp-Dependent)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</si>
  <si>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>REF</t>
    </r>
    <r>
      <rPr>
        <b/>
        <sz val="11"/>
        <color theme="1"/>
        <rFont val="Calibri"/>
        <family val="2"/>
        <scheme val="minor"/>
      </rPr>
      <t xml:space="preserve"> Bias Offset Current Drift</t>
    </r>
  </si>
  <si>
    <t>Errors</t>
  </si>
  <si>
    <t>NOTES:</t>
  </si>
  <si>
    <t>- Load cell errors (such as linearity and self-heating) were not included in this error analysis</t>
  </si>
  <si>
    <t>- Unknown MAX errors are estimated</t>
  </si>
  <si>
    <t>TOTAL (Estimated) DC Excitation Error</t>
  </si>
  <si>
    <t>TOTAL (Estimated) AC Excitation Error</t>
  </si>
  <si>
    <t>Noise (uVrms)</t>
  </si>
  <si>
    <t xml:space="preserve">FILTER SELECTION </t>
  </si>
  <si>
    <t>Weight Resolution (DC Excitation)</t>
  </si>
  <si>
    <t>Weight Resolution (AC Excitation)</t>
  </si>
  <si>
    <t>NOTE: Noise reduced by sqrt(2) to account for averaging</t>
  </si>
  <si>
    <t>Error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</si>
</sst>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%"/>
    <numFmt numFmtId="168" formatCode="0.00000%"/>
    <numFmt numFmtId="169" formatCode="0.0"/>
    <numFmt numFmtId="170" formatCode="0.0%"/>
    <numFmt numFmtId="171" formatCode="0.00000000%"/>
    <numFmt numFmtId="172" formatCode="0\ &quot;°C&quot;"/>
    <numFmt numFmtId="173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5" borderId="0" xfId="0" applyFill="1"/>
    <xf numFmtId="0" fontId="3" fillId="4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7" borderId="30" xfId="0" applyFont="1" applyFill="1" applyBorder="1" applyAlignment="1">
      <alignment horizontal="left" vertical="center"/>
    </xf>
    <xf numFmtId="0" fontId="3" fillId="7" borderId="23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3" fillId="5" borderId="27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11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3" xfId="0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23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0" borderId="0" xfId="0" applyFont="1"/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7" borderId="49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0" fontId="3" fillId="7" borderId="34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3" fillId="11" borderId="24" xfId="0" applyFont="1" applyFill="1" applyBorder="1" applyAlignment="1">
      <alignment horizontal="center"/>
    </xf>
    <xf numFmtId="0" fontId="3" fillId="11" borderId="25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8" borderId="43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9" fontId="0" fillId="8" borderId="43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0" fontId="0" fillId="8" borderId="16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12" borderId="19" xfId="0" applyFill="1" applyBorder="1"/>
    <xf numFmtId="0" fontId="0" fillId="12" borderId="18" xfId="0" applyFill="1" applyBorder="1" applyAlignment="1">
      <alignment horizontal="center"/>
    </xf>
    <xf numFmtId="171" fontId="0" fillId="12" borderId="20" xfId="1" applyNumberFormat="1" applyFont="1" applyFill="1" applyBorder="1" applyAlignment="1">
      <alignment horizontal="center"/>
    </xf>
    <xf numFmtId="0" fontId="0" fillId="12" borderId="12" xfId="0" applyFill="1" applyBorder="1"/>
    <xf numFmtId="168" fontId="0" fillId="4" borderId="18" xfId="1" applyNumberFormat="1" applyFont="1" applyFill="1" applyBorder="1" applyAlignment="1">
      <alignment horizontal="center"/>
    </xf>
    <xf numFmtId="0" fontId="0" fillId="12" borderId="20" xfId="0" applyNumberFormat="1" applyFill="1" applyBorder="1" applyAlignment="1">
      <alignment horizontal="center"/>
    </xf>
    <xf numFmtId="168" fontId="0" fillId="12" borderId="20" xfId="1" applyNumberFormat="1" applyFont="1" applyFill="1" applyBorder="1" applyAlignment="1">
      <alignment horizontal="center"/>
    </xf>
    <xf numFmtId="167" fontId="3" fillId="5" borderId="22" xfId="1" applyNumberFormat="1" applyFont="1" applyFill="1" applyBorder="1" applyAlignment="1">
      <alignment horizontal="center" vertical="center"/>
    </xf>
    <xf numFmtId="2" fontId="3" fillId="5" borderId="41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top"/>
    </xf>
    <xf numFmtId="0" fontId="3" fillId="7" borderId="8" xfId="0" applyFont="1" applyFill="1" applyBorder="1" applyAlignment="1">
      <alignment horizontal="left"/>
    </xf>
    <xf numFmtId="2" fontId="3" fillId="5" borderId="49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172" fontId="3" fillId="10" borderId="1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right" vertical="center"/>
    </xf>
    <xf numFmtId="2" fontId="3" fillId="4" borderId="2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2" fontId="3" fillId="5" borderId="3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2" fontId="3" fillId="5" borderId="30" xfId="0" applyNumberFormat="1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2" fontId="3" fillId="5" borderId="31" xfId="0" applyNumberFormat="1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0" fontId="7" fillId="5" borderId="24" xfId="1" applyNumberFormat="1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7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0" fontId="3" fillId="4" borderId="21" xfId="0" applyNumberFormat="1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vertical="center"/>
    </xf>
    <xf numFmtId="0" fontId="3" fillId="10" borderId="20" xfId="0" applyFont="1" applyFill="1" applyBorder="1" applyAlignment="1">
      <alignment horizontal="right" vertical="center"/>
    </xf>
    <xf numFmtId="0" fontId="3" fillId="4" borderId="21" xfId="0" applyNumberFormat="1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1" fontId="3" fillId="13" borderId="23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vertical="center" wrapText="1"/>
    </xf>
    <xf numFmtId="0" fontId="3" fillId="14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3" fillId="10" borderId="23" xfId="0" applyFont="1" applyFill="1" applyBorder="1" applyAlignment="1">
      <alignment vertical="center" wrapText="1"/>
    </xf>
    <xf numFmtId="1" fontId="7" fillId="10" borderId="24" xfId="0" applyNumberFormat="1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173" fontId="7" fillId="3" borderId="40" xfId="2" applyNumberFormat="1" applyFont="1" applyFill="1" applyBorder="1" applyAlignment="1">
      <alignment horizontal="center" vertical="center"/>
    </xf>
    <xf numFmtId="9" fontId="3" fillId="5" borderId="0" xfId="1" applyFont="1" applyFill="1" applyBorder="1" applyAlignment="1">
      <alignment vertical="center"/>
    </xf>
    <xf numFmtId="0" fontId="3" fillId="13" borderId="49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9" fontId="3" fillId="5" borderId="0" xfId="1" applyFont="1" applyFill="1" applyBorder="1" applyAlignment="1">
      <alignment horizontal="center" vertical="center"/>
    </xf>
    <xf numFmtId="2" fontId="14" fillId="5" borderId="3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top" wrapText="1"/>
    </xf>
    <xf numFmtId="0" fontId="3" fillId="4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2" fontId="3" fillId="4" borderId="51" xfId="0" applyNumberFormat="1" applyFont="1" applyFill="1" applyBorder="1" applyAlignment="1">
      <alignment horizontal="center" vertical="center"/>
    </xf>
    <xf numFmtId="166" fontId="3" fillId="8" borderId="31" xfId="0" applyNumberFormat="1" applyFont="1" applyFill="1" applyBorder="1" applyAlignment="1">
      <alignment horizontal="center" vertical="center"/>
    </xf>
    <xf numFmtId="1" fontId="3" fillId="8" borderId="27" xfId="2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170" fontId="3" fillId="8" borderId="22" xfId="1" applyNumberFormat="1" applyFont="1" applyFill="1" applyBorder="1" applyAlignment="1">
      <alignment horizontal="center" vertical="center"/>
    </xf>
    <xf numFmtId="1" fontId="13" fillId="5" borderId="42" xfId="2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1" fontId="13" fillId="5" borderId="18" xfId="2" applyNumberFormat="1" applyFont="1" applyFill="1" applyBorder="1" applyAlignment="1">
      <alignment horizontal="center" vertical="center"/>
    </xf>
    <xf numFmtId="0" fontId="3" fillId="15" borderId="32" xfId="0" applyFont="1" applyFill="1" applyBorder="1" applyAlignment="1">
      <alignment horizontal="center" vertical="center"/>
    </xf>
    <xf numFmtId="173" fontId="7" fillId="15" borderId="19" xfId="2" applyNumberFormat="1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169" fontId="3" fillId="5" borderId="2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12" borderId="30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2" fontId="3" fillId="5" borderId="30" xfId="0" applyNumberFormat="1" applyFont="1" applyFill="1" applyBorder="1" applyAlignment="1">
      <alignment horizontal="center" vertical="center"/>
    </xf>
    <xf numFmtId="2" fontId="3" fillId="5" borderId="20" xfId="0" applyNumberFormat="1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1" fontId="3" fillId="5" borderId="38" xfId="0" applyNumberFormat="1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2" fontId="11" fillId="5" borderId="30" xfId="0" applyNumberFormat="1" applyFont="1" applyFill="1" applyBorder="1" applyAlignment="1">
      <alignment horizontal="center" vertical="center"/>
    </xf>
    <xf numFmtId="2" fontId="11" fillId="5" borderId="2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center" vertical="center"/>
    </xf>
    <xf numFmtId="0" fontId="3" fillId="15" borderId="26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3" fillId="5" borderId="30" xfId="1" applyNumberFormat="1" applyFont="1" applyFill="1" applyBorder="1" applyAlignment="1">
      <alignment horizontal="center" vertical="center"/>
    </xf>
    <xf numFmtId="2" fontId="3" fillId="5" borderId="20" xfId="1" applyNumberFormat="1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2" fontId="3" fillId="5" borderId="42" xfId="0" applyNumberFormat="1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2" fontId="3" fillId="5" borderId="31" xfId="0" applyNumberFormat="1" applyFont="1" applyFill="1" applyBorder="1" applyAlignment="1">
      <alignment horizontal="center" vertical="center"/>
    </xf>
    <xf numFmtId="2" fontId="3" fillId="5" borderId="21" xfId="0" applyNumberFormat="1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2" fontId="3" fillId="5" borderId="49" xfId="0" applyNumberFormat="1" applyFont="1" applyFill="1" applyBorder="1" applyAlignment="1">
      <alignment horizontal="center" vertical="center"/>
    </xf>
    <xf numFmtId="2" fontId="3" fillId="5" borderId="26" xfId="0" applyNumberFormat="1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15" fillId="5" borderId="0" xfId="0" quotePrefix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0" xfId="0" quotePrefix="1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9" borderId="1" xfId="0" quotePrefix="1" applyFont="1" applyFill="1" applyBorder="1" applyAlignment="1">
      <alignment horizontal="center"/>
    </xf>
    <xf numFmtId="0" fontId="3" fillId="9" borderId="2" xfId="0" quotePrefix="1" applyFont="1" applyFill="1" applyBorder="1" applyAlignment="1">
      <alignment horizontal="center"/>
    </xf>
    <xf numFmtId="0" fontId="3" fillId="9" borderId="3" xfId="0" quotePrefix="1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2" sqref="B2:E2"/>
    </sheetView>
  </sheetViews>
  <sheetFormatPr defaultRowHeight="15" x14ac:dyDescent="0.25"/>
  <cols>
    <col min="2" max="2" width="12" customWidth="1"/>
    <col min="4" max="4" width="21.28515625" customWidth="1"/>
  </cols>
  <sheetData>
    <row r="1" spans="2:5" ht="15.75" thickBot="1" x14ac:dyDescent="0.3"/>
    <row r="2" spans="2:5" ht="15.75" thickBot="1" x14ac:dyDescent="0.3">
      <c r="B2" s="185" t="s">
        <v>0</v>
      </c>
      <c r="C2" s="186"/>
      <c r="D2" s="186"/>
      <c r="E2" s="187"/>
    </row>
    <row r="3" spans="2:5" ht="15.75" thickBot="1" x14ac:dyDescent="0.3">
      <c r="B3" s="1"/>
      <c r="C3" s="188" t="s">
        <v>79</v>
      </c>
      <c r="D3" s="189"/>
      <c r="E3" s="190"/>
    </row>
    <row r="4" spans="2:5" ht="15.75" thickBot="1" x14ac:dyDescent="0.3">
      <c r="B4" s="2"/>
      <c r="C4" s="191" t="s">
        <v>1</v>
      </c>
      <c r="D4" s="192"/>
      <c r="E4" s="193"/>
    </row>
    <row r="5" spans="2:5" ht="15.75" thickBot="1" x14ac:dyDescent="0.3">
      <c r="B5" s="112"/>
      <c r="C5" s="191" t="s">
        <v>80</v>
      </c>
      <c r="D5" s="192"/>
      <c r="E5" s="193"/>
    </row>
    <row r="6" spans="2:5" ht="15.75" thickBot="1" x14ac:dyDescent="0.3">
      <c r="B6" s="3" t="s">
        <v>2</v>
      </c>
      <c r="C6" s="191" t="s">
        <v>3</v>
      </c>
      <c r="D6" s="192"/>
      <c r="E6" s="193"/>
    </row>
    <row r="7" spans="2:5" ht="15.75" thickBot="1" x14ac:dyDescent="0.3">
      <c r="B7" s="3" t="s">
        <v>2</v>
      </c>
      <c r="C7" s="191" t="s">
        <v>4</v>
      </c>
      <c r="D7" s="192"/>
      <c r="E7" s="193"/>
    </row>
    <row r="8" spans="2:5" ht="15.75" thickBot="1" x14ac:dyDescent="0.3">
      <c r="B8" s="4" t="s">
        <v>2</v>
      </c>
      <c r="C8" s="191" t="s">
        <v>5</v>
      </c>
      <c r="D8" s="192"/>
      <c r="E8" s="193"/>
    </row>
    <row r="9" spans="2:5" ht="15.75" thickBot="1" x14ac:dyDescent="0.3">
      <c r="B9" s="111"/>
      <c r="C9" s="196" t="s">
        <v>78</v>
      </c>
      <c r="D9" s="197"/>
      <c r="E9" s="198"/>
    </row>
    <row r="12" spans="2:5" ht="15.75" thickBot="1" x14ac:dyDescent="0.3">
      <c r="B12" s="50" t="s">
        <v>55</v>
      </c>
    </row>
    <row r="13" spans="2:5" x14ac:dyDescent="0.25">
      <c r="B13" s="194" t="s">
        <v>56</v>
      </c>
      <c r="C13" s="195"/>
    </row>
    <row r="14" spans="2:5" x14ac:dyDescent="0.25">
      <c r="B14" s="91">
        <v>32</v>
      </c>
      <c r="C14" s="92" t="s">
        <v>57</v>
      </c>
    </row>
    <row r="15" spans="2:5" x14ac:dyDescent="0.25">
      <c r="B15" s="93">
        <f>1000000/2^B14</f>
        <v>2.3283064365386963E-4</v>
      </c>
      <c r="C15" s="92" t="s">
        <v>58</v>
      </c>
    </row>
    <row r="16" spans="2:5" ht="15.75" thickBot="1" x14ac:dyDescent="0.3">
      <c r="B16" s="94">
        <f>(B15/1000000)</f>
        <v>2.3283064365386963E-10</v>
      </c>
      <c r="C16" s="95" t="s">
        <v>59</v>
      </c>
    </row>
    <row r="17" spans="2:3" ht="15.75" thickBot="1" x14ac:dyDescent="0.3"/>
    <row r="18" spans="2:3" x14ac:dyDescent="0.25">
      <c r="B18" s="194" t="s">
        <v>60</v>
      </c>
      <c r="C18" s="195"/>
    </row>
    <row r="19" spans="2:3" x14ac:dyDescent="0.25">
      <c r="B19" s="96">
        <v>5.0000000000000002E-5</v>
      </c>
      <c r="C19" s="92" t="s">
        <v>59</v>
      </c>
    </row>
    <row r="20" spans="2:3" ht="15.75" thickBot="1" x14ac:dyDescent="0.3">
      <c r="B20" s="97">
        <f>B19*1000000</f>
        <v>50</v>
      </c>
      <c r="C20" s="95" t="s">
        <v>58</v>
      </c>
    </row>
    <row r="21" spans="2:3" ht="15.75" thickBot="1" x14ac:dyDescent="0.3"/>
    <row r="22" spans="2:3" x14ac:dyDescent="0.25">
      <c r="B22" s="194" t="s">
        <v>61</v>
      </c>
      <c r="C22" s="195"/>
    </row>
    <row r="23" spans="2:3" x14ac:dyDescent="0.25">
      <c r="B23" s="91">
        <v>300</v>
      </c>
      <c r="C23" s="92" t="s">
        <v>58</v>
      </c>
    </row>
    <row r="24" spans="2:3" ht="15.75" thickBot="1" x14ac:dyDescent="0.3">
      <c r="B24" s="98">
        <f>B23/1000000</f>
        <v>2.9999999999999997E-4</v>
      </c>
      <c r="C24" s="95" t="s">
        <v>59</v>
      </c>
    </row>
  </sheetData>
  <mergeCells count="11">
    <mergeCell ref="B13:C13"/>
    <mergeCell ref="B18:C18"/>
    <mergeCell ref="B22:C22"/>
    <mergeCell ref="C9:E9"/>
    <mergeCell ref="C5:E5"/>
    <mergeCell ref="C8:E8"/>
    <mergeCell ref="B2:E2"/>
    <mergeCell ref="C3:E3"/>
    <mergeCell ref="C4:E4"/>
    <mergeCell ref="C6:E6"/>
    <mergeCell ref="C7:E7"/>
  </mergeCells>
  <conditionalFormatting sqref="B6">
    <cfRule type="cellIs" dxfId="2" priority="2" operator="equal">
      <formula>"&lt;value&gt;"</formula>
    </cfRule>
  </conditionalFormatting>
  <conditionalFormatting sqref="B7">
    <cfRule type="cellIs" dxfId="1" priority="1" operator="equal">
      <formula>"&lt;value&gt;"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tabSelected="1" zoomScale="85" zoomScaleNormal="85" workbookViewId="0"/>
  </sheetViews>
  <sheetFormatPr defaultRowHeight="15" x14ac:dyDescent="0.25"/>
  <cols>
    <col min="1" max="1" width="9.140625" style="18"/>
    <col min="2" max="2" width="32.7109375" style="18" customWidth="1"/>
    <col min="3" max="3" width="17" style="18" customWidth="1"/>
    <col min="4" max="4" width="10.5703125" style="18" customWidth="1"/>
    <col min="5" max="5" width="15.7109375" style="18" customWidth="1"/>
    <col min="6" max="6" width="10.7109375" style="18" customWidth="1"/>
    <col min="7" max="7" width="11" style="18" customWidth="1"/>
    <col min="8" max="8" width="10.85546875" style="18" customWidth="1"/>
    <col min="9" max="9" width="12.140625" style="18" customWidth="1"/>
    <col min="10" max="10" width="11.7109375" style="18" bestFit="1" customWidth="1"/>
    <col min="11" max="11" width="9.140625" style="18"/>
    <col min="12" max="12" width="14.42578125" style="18" customWidth="1"/>
    <col min="13" max="15" width="9.140625" style="18"/>
    <col min="16" max="16" width="9.140625" style="18" customWidth="1"/>
    <col min="17" max="17" width="9.140625" style="18"/>
    <col min="18" max="18" width="9.140625" customWidth="1"/>
    <col min="19" max="19" width="16.85546875" customWidth="1"/>
    <col min="20" max="16384" width="9.140625" style="18"/>
  </cols>
  <sheetData>
    <row r="1" spans="2:17" ht="15.75" thickBot="1" x14ac:dyDescent="0.3"/>
    <row r="2" spans="2:17" ht="15.75" thickBot="1" x14ac:dyDescent="0.3">
      <c r="B2" s="218" t="s">
        <v>15</v>
      </c>
      <c r="C2" s="219"/>
      <c r="D2" s="220"/>
    </row>
    <row r="3" spans="2:17" x14ac:dyDescent="0.25">
      <c r="B3" s="11" t="s">
        <v>8</v>
      </c>
      <c r="C3" s="21">
        <v>5</v>
      </c>
      <c r="D3" s="130" t="s">
        <v>9</v>
      </c>
    </row>
    <row r="4" spans="2:17" x14ac:dyDescent="0.25">
      <c r="B4" s="167" t="s">
        <v>10</v>
      </c>
      <c r="C4" s="166">
        <v>0</v>
      </c>
      <c r="D4" s="168" t="s">
        <v>9</v>
      </c>
    </row>
    <row r="5" spans="2:17" x14ac:dyDescent="0.25">
      <c r="B5" s="167" t="s">
        <v>6</v>
      </c>
      <c r="C5" s="166">
        <v>32</v>
      </c>
      <c r="D5" s="168" t="s">
        <v>7</v>
      </c>
      <c r="F5" s="6"/>
      <c r="G5" s="6"/>
      <c r="H5" s="134"/>
    </row>
    <row r="6" spans="2:17" ht="18" x14ac:dyDescent="0.25">
      <c r="B6" s="167" t="s">
        <v>85</v>
      </c>
      <c r="C6" s="166">
        <v>350</v>
      </c>
      <c r="D6" s="168" t="s">
        <v>11</v>
      </c>
      <c r="E6" s="109"/>
      <c r="F6" s="125"/>
      <c r="G6" s="109"/>
      <c r="H6" s="109"/>
    </row>
    <row r="7" spans="2:17" ht="17.25" customHeight="1" thickBot="1" x14ac:dyDescent="0.3">
      <c r="B7" s="15" t="s">
        <v>14</v>
      </c>
      <c r="C7" s="8">
        <v>5</v>
      </c>
      <c r="D7" s="131" t="s">
        <v>9</v>
      </c>
      <c r="E7" s="126"/>
      <c r="F7" s="127"/>
      <c r="G7" s="6"/>
      <c r="H7" s="9"/>
    </row>
    <row r="8" spans="2:17" x14ac:dyDescent="0.25">
      <c r="B8" s="9"/>
      <c r="C8" s="9"/>
      <c r="D8" s="10"/>
    </row>
    <row r="9" spans="2:17" ht="15.75" thickBot="1" x14ac:dyDescent="0.3">
      <c r="F9" s="5"/>
      <c r="G9" s="19"/>
      <c r="N9" s="10"/>
      <c r="O9" s="16"/>
      <c r="P9" s="10"/>
      <c r="Q9" s="10"/>
    </row>
    <row r="10" spans="2:17" ht="15.75" thickBot="1" x14ac:dyDescent="0.3">
      <c r="B10" s="218" t="s">
        <v>46</v>
      </c>
      <c r="C10" s="219"/>
      <c r="D10" s="220"/>
      <c r="F10" s="5"/>
      <c r="G10" s="19"/>
      <c r="O10" s="5"/>
    </row>
    <row r="11" spans="2:17" ht="18" x14ac:dyDescent="0.25">
      <c r="B11" s="14" t="s">
        <v>43</v>
      </c>
      <c r="C11" s="172">
        <f>0.01</f>
        <v>0.01</v>
      </c>
      <c r="D11" s="17" t="s">
        <v>9</v>
      </c>
      <c r="E11" s="10"/>
      <c r="F11" s="16"/>
      <c r="G11" s="20"/>
      <c r="H11" s="10"/>
      <c r="I11" s="10"/>
      <c r="J11" s="10"/>
      <c r="O11" s="5"/>
    </row>
    <row r="12" spans="2:17" ht="15.75" thickBot="1" x14ac:dyDescent="0.3">
      <c r="B12" s="62" t="s">
        <v>77</v>
      </c>
      <c r="C12" s="173">
        <f>C11*C5/C7</f>
        <v>6.4000000000000001E-2</v>
      </c>
      <c r="D12" s="63" t="s">
        <v>12</v>
      </c>
      <c r="E12" s="10"/>
      <c r="F12" s="16"/>
      <c r="G12" s="20"/>
      <c r="H12" s="10"/>
      <c r="I12" s="10"/>
      <c r="J12" s="10"/>
      <c r="O12" s="5"/>
    </row>
    <row r="13" spans="2:17" x14ac:dyDescent="0.25">
      <c r="B13" s="14" t="s">
        <v>41</v>
      </c>
      <c r="C13" s="223" t="s">
        <v>32</v>
      </c>
      <c r="D13" s="224"/>
      <c r="F13" s="5"/>
      <c r="G13" s="19"/>
      <c r="O13" s="5"/>
    </row>
    <row r="14" spans="2:17" ht="15.75" thickBot="1" x14ac:dyDescent="0.3">
      <c r="B14" s="15" t="s">
        <v>42</v>
      </c>
      <c r="C14" s="225" t="s">
        <v>33</v>
      </c>
      <c r="D14" s="226"/>
      <c r="F14" s="5"/>
      <c r="G14" s="19"/>
      <c r="O14" s="5"/>
    </row>
    <row r="15" spans="2:17" ht="18.75" thickBot="1" x14ac:dyDescent="0.3">
      <c r="B15" s="57" t="s">
        <v>53</v>
      </c>
      <c r="C15" s="169">
        <f>'ADS126x Noise Table'!L23*1000*6.6</f>
        <v>198</v>
      </c>
      <c r="D15" s="55" t="s">
        <v>81</v>
      </c>
      <c r="F15" s="5"/>
      <c r="G15" s="19"/>
      <c r="O15" s="5"/>
    </row>
    <row r="16" spans="2:17" x14ac:dyDescent="0.25">
      <c r="B16" s="221" t="s">
        <v>114</v>
      </c>
      <c r="C16" s="170">
        <f>LOG((C11/(0.000000001*C15)),2)</f>
        <v>15.624140044131927</v>
      </c>
      <c r="D16" s="58" t="s">
        <v>44</v>
      </c>
      <c r="F16" s="5"/>
      <c r="G16" s="19"/>
      <c r="O16" s="5"/>
    </row>
    <row r="17" spans="2:19" ht="15.75" thickBot="1" x14ac:dyDescent="0.3">
      <c r="B17" s="222"/>
      <c r="C17" s="171">
        <f>2^C16</f>
        <v>50505.050505050494</v>
      </c>
      <c r="D17" s="59" t="s">
        <v>86</v>
      </c>
      <c r="F17" s="5"/>
      <c r="G17" s="19"/>
      <c r="O17" s="5"/>
    </row>
    <row r="18" spans="2:19" x14ac:dyDescent="0.25">
      <c r="B18" s="235" t="s">
        <v>115</v>
      </c>
      <c r="C18" s="170">
        <f>LOG((C11/(0.000000001*C15/SQRT(2))),2)</f>
        <v>16.124140044131927</v>
      </c>
      <c r="D18" s="179" t="s">
        <v>44</v>
      </c>
      <c r="E18" s="237" t="s">
        <v>116</v>
      </c>
      <c r="F18" s="238"/>
      <c r="G18" s="238"/>
      <c r="H18" s="238"/>
      <c r="I18" s="25"/>
      <c r="J18" s="25"/>
      <c r="K18" s="25"/>
      <c r="O18" s="5"/>
    </row>
    <row r="19" spans="2:19" ht="15.75" thickBot="1" x14ac:dyDescent="0.3">
      <c r="B19" s="236"/>
      <c r="C19" s="171">
        <f>2^C18</f>
        <v>71424.927392580605</v>
      </c>
      <c r="D19" s="183" t="s">
        <v>86</v>
      </c>
      <c r="E19" s="237"/>
      <c r="F19" s="238"/>
      <c r="G19" s="238"/>
      <c r="H19" s="238"/>
      <c r="I19" s="25"/>
      <c r="J19" s="25"/>
      <c r="K19" s="25"/>
      <c r="O19" s="5"/>
    </row>
    <row r="20" spans="2:19" x14ac:dyDescent="0.25">
      <c r="B20" s="9"/>
      <c r="C20" s="13"/>
      <c r="D20" s="9"/>
      <c r="E20" s="25"/>
      <c r="F20" s="26"/>
      <c r="G20" s="64"/>
      <c r="H20" s="25"/>
      <c r="I20" s="25"/>
      <c r="J20" s="25"/>
      <c r="K20" s="25"/>
      <c r="O20" s="5"/>
    </row>
    <row r="21" spans="2:19" ht="15.75" thickBot="1" x14ac:dyDescent="0.3">
      <c r="K21" s="9"/>
      <c r="L21" s="9"/>
      <c r="M21" s="9"/>
      <c r="N21" s="9"/>
      <c r="O21" s="9"/>
      <c r="P21" s="9"/>
      <c r="Q21" s="9"/>
    </row>
    <row r="22" spans="2:19" ht="19.5" thickBot="1" x14ac:dyDescent="0.3">
      <c r="B22" s="232" t="s">
        <v>117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4"/>
    </row>
    <row r="23" spans="2:19" ht="15.75" thickBot="1" x14ac:dyDescent="0.3">
      <c r="B23" s="155" t="s">
        <v>64</v>
      </c>
      <c r="C23" s="156">
        <f>125+40</f>
        <v>165</v>
      </c>
      <c r="D23" s="157" t="s">
        <v>45</v>
      </c>
      <c r="E23" s="22"/>
      <c r="F23" s="22"/>
      <c r="G23" s="22"/>
      <c r="H23" s="22"/>
      <c r="I23" s="22"/>
      <c r="J23" s="22"/>
      <c r="K23" s="22"/>
      <c r="L23" s="88"/>
      <c r="M23" s="88"/>
      <c r="N23" s="88"/>
      <c r="O23" s="88"/>
      <c r="P23" s="88"/>
      <c r="Q23" s="88"/>
      <c r="R23" s="7"/>
      <c r="S23" s="7"/>
    </row>
    <row r="24" spans="2:19" ht="15.75" thickBot="1" x14ac:dyDescent="0.3">
      <c r="B24" s="150" t="s">
        <v>87</v>
      </c>
      <c r="C24" s="135">
        <f>$C$12</f>
        <v>6.4000000000000001E-2</v>
      </c>
      <c r="D24" s="151" t="s">
        <v>12</v>
      </c>
      <c r="E24" s="154"/>
      <c r="F24" s="154"/>
      <c r="G24" s="154"/>
      <c r="H24" s="154"/>
      <c r="I24" s="154"/>
      <c r="J24" s="154"/>
      <c r="K24" s="154"/>
      <c r="L24" s="88"/>
      <c r="M24" s="88"/>
      <c r="N24" s="88"/>
      <c r="O24" s="271" t="s">
        <v>82</v>
      </c>
      <c r="P24" s="272"/>
      <c r="Q24" s="276" t="s">
        <v>83</v>
      </c>
      <c r="R24" s="277"/>
      <c r="S24" s="7"/>
    </row>
    <row r="25" spans="2:19" ht="15.75" thickBot="1" x14ac:dyDescent="0.3">
      <c r="B25" s="230" t="s">
        <v>106</v>
      </c>
      <c r="C25" s="231"/>
      <c r="D25" s="231"/>
      <c r="E25" s="186"/>
      <c r="F25" s="186"/>
      <c r="G25" s="186"/>
      <c r="H25" s="186"/>
      <c r="I25" s="186"/>
      <c r="J25" s="186"/>
      <c r="K25" s="186"/>
      <c r="L25" s="186"/>
      <c r="M25" s="187"/>
      <c r="N25" s="88"/>
      <c r="O25" s="175" t="s">
        <v>107</v>
      </c>
      <c r="P25" s="273" t="s">
        <v>109</v>
      </c>
      <c r="Q25" s="274"/>
      <c r="R25" s="274"/>
      <c r="S25" s="274"/>
    </row>
    <row r="26" spans="2:19" ht="15" customHeight="1" thickBot="1" x14ac:dyDescent="0.3">
      <c r="B26" s="56" t="s">
        <v>52</v>
      </c>
      <c r="C26" s="23">
        <f>2*$C$7/$C$5</f>
        <v>0.3125</v>
      </c>
      <c r="D26" s="106" t="s">
        <v>9</v>
      </c>
      <c r="E26" s="90"/>
      <c r="F26" s="248" t="s">
        <v>67</v>
      </c>
      <c r="G26" s="250"/>
      <c r="H26" s="88"/>
      <c r="I26" s="248" t="s">
        <v>68</v>
      </c>
      <c r="J26" s="250"/>
      <c r="K26" s="89"/>
      <c r="L26" s="107" t="s">
        <v>76</v>
      </c>
      <c r="M26" s="108">
        <v>10</v>
      </c>
      <c r="N26" s="89"/>
      <c r="O26" s="176"/>
      <c r="P26" s="275" t="s">
        <v>108</v>
      </c>
      <c r="Q26" s="275"/>
      <c r="R26" s="275"/>
      <c r="S26" s="275"/>
    </row>
    <row r="27" spans="2:19" ht="17.100000000000001" customHeight="1" thickBot="1" x14ac:dyDescent="0.3">
      <c r="B27" s="12" t="s">
        <v>51</v>
      </c>
      <c r="C27" s="30">
        <f>$C$15</f>
        <v>198</v>
      </c>
      <c r="D27" s="24" t="s">
        <v>84</v>
      </c>
      <c r="E27" s="22"/>
      <c r="F27" s="104">
        <f>1000000*C27*0.000000001/$C$26</f>
        <v>0.63360000000000005</v>
      </c>
      <c r="G27" s="55" t="s">
        <v>13</v>
      </c>
      <c r="H27" s="89"/>
      <c r="I27" s="104">
        <f>F27</f>
        <v>0.63360000000000005</v>
      </c>
      <c r="J27" s="55" t="s">
        <v>13</v>
      </c>
      <c r="K27" s="89"/>
      <c r="L27" s="104">
        <f>I27</f>
        <v>0.63360000000000005</v>
      </c>
      <c r="M27" s="55" t="s">
        <v>13</v>
      </c>
      <c r="O27" s="176"/>
      <c r="P27" s="275"/>
      <c r="Q27" s="275"/>
      <c r="R27" s="275"/>
      <c r="S27" s="275"/>
    </row>
    <row r="28" spans="2:19" ht="17.100000000000001" customHeight="1" x14ac:dyDescent="0.25">
      <c r="B28" s="103" t="s">
        <v>70</v>
      </c>
      <c r="C28" s="101">
        <f>IF($Q$24="TYP",350/$C$5,IF($Q$24="MAX",800/$C$5,"ERROR"))</f>
        <v>10.9375</v>
      </c>
      <c r="D28" s="63" t="s">
        <v>54</v>
      </c>
      <c r="E28" s="22"/>
      <c r="F28" s="216">
        <f>1000000*C28*0.000001/$C$26</f>
        <v>35</v>
      </c>
      <c r="G28" s="203" t="s">
        <v>13</v>
      </c>
      <c r="H28" s="22"/>
      <c r="I28" s="201">
        <f>1000000*C29*0.000000001/$C$26</f>
        <v>0.15840000000000001</v>
      </c>
      <c r="J28" s="203" t="s">
        <v>13</v>
      </c>
      <c r="K28" s="22"/>
      <c r="L28" s="201">
        <f>I28</f>
        <v>0.15840000000000001</v>
      </c>
      <c r="M28" s="203" t="s">
        <v>13</v>
      </c>
      <c r="N28" s="199" t="s">
        <v>96</v>
      </c>
      <c r="O28" s="200"/>
      <c r="P28" s="165"/>
      <c r="Q28" s="165"/>
      <c r="R28" s="165"/>
      <c r="S28" s="165"/>
    </row>
    <row r="29" spans="2:19" ht="17.100000000000001" customHeight="1" thickBot="1" x14ac:dyDescent="0.3">
      <c r="B29" s="102" t="s">
        <v>71</v>
      </c>
      <c r="C29" s="100">
        <f>$C$27/4</f>
        <v>49.5</v>
      </c>
      <c r="D29" s="61" t="s">
        <v>84</v>
      </c>
      <c r="E29" s="22"/>
      <c r="F29" s="217"/>
      <c r="G29" s="204"/>
      <c r="H29" s="22"/>
      <c r="I29" s="202"/>
      <c r="J29" s="204"/>
      <c r="K29" s="22"/>
      <c r="L29" s="202"/>
      <c r="M29" s="204"/>
      <c r="N29" s="199"/>
      <c r="O29" s="200"/>
      <c r="P29" s="88"/>
      <c r="Q29" s="88"/>
      <c r="R29" s="88"/>
      <c r="S29" s="88"/>
    </row>
    <row r="30" spans="2:19" ht="17.100000000000001" customHeight="1" x14ac:dyDescent="0.25">
      <c r="B30" s="228" t="s">
        <v>62</v>
      </c>
      <c r="C30" s="254">
        <f>IF($Q$24="TYP",10+30/$C$5,50+100/$C$5)</f>
        <v>10.9375</v>
      </c>
      <c r="D30" s="214" t="s">
        <v>65</v>
      </c>
      <c r="E30" s="22"/>
      <c r="F30" s="227">
        <f>1000000*$C$23*C30*0.000000001/$C$26</f>
        <v>5.7750000000000004</v>
      </c>
      <c r="G30" s="252" t="s">
        <v>13</v>
      </c>
      <c r="H30" s="22"/>
      <c r="I30" s="216">
        <f>F30</f>
        <v>5.7750000000000004</v>
      </c>
      <c r="J30" s="203" t="s">
        <v>13</v>
      </c>
      <c r="K30" s="22"/>
      <c r="L30" s="216">
        <f>$M$26*1000000*C30*0.000000001/$C$26</f>
        <v>0.35</v>
      </c>
      <c r="M30" s="203" t="s">
        <v>13</v>
      </c>
      <c r="N30" s="199" t="s">
        <v>99</v>
      </c>
      <c r="O30" s="200"/>
      <c r="P30" s="200"/>
      <c r="Q30" s="200"/>
      <c r="R30" s="200"/>
      <c r="S30" s="200"/>
    </row>
    <row r="31" spans="2:19" ht="17.100000000000001" customHeight="1" thickBot="1" x14ac:dyDescent="0.3">
      <c r="B31" s="229"/>
      <c r="C31" s="255"/>
      <c r="D31" s="256"/>
      <c r="E31" s="22"/>
      <c r="F31" s="202"/>
      <c r="G31" s="204"/>
      <c r="H31" s="22"/>
      <c r="I31" s="217"/>
      <c r="J31" s="204"/>
      <c r="K31" s="22"/>
      <c r="L31" s="217"/>
      <c r="M31" s="204"/>
      <c r="N31" s="199"/>
      <c r="O31" s="200"/>
      <c r="P31" s="200"/>
      <c r="Q31" s="200"/>
      <c r="R31" s="200"/>
      <c r="S31" s="200"/>
    </row>
    <row r="32" spans="2:19" ht="17.100000000000001" customHeight="1" x14ac:dyDescent="0.25">
      <c r="B32" s="103" t="s">
        <v>72</v>
      </c>
      <c r="C32" s="99">
        <f>IF($Q$24="TYP",0.005%,0.03%)</f>
        <v>5.0000000000000002E-5</v>
      </c>
      <c r="D32" s="63" t="s">
        <v>12</v>
      </c>
      <c r="E32" s="22"/>
      <c r="F32" s="239">
        <f>C32*1000000*$C$26*$C$24</f>
        <v>1</v>
      </c>
      <c r="G32" s="203" t="s">
        <v>13</v>
      </c>
      <c r="H32" s="22"/>
      <c r="I32" s="227">
        <f>(1000000*(C33*0.000000001/$C$26)*$C$24)</f>
        <v>1.01376E-2</v>
      </c>
      <c r="J32" s="252" t="s">
        <v>13</v>
      </c>
      <c r="K32" s="22"/>
      <c r="L32" s="227">
        <f>I32</f>
        <v>1.01376E-2</v>
      </c>
      <c r="M32" s="252" t="s">
        <v>13</v>
      </c>
      <c r="N32" s="199" t="s">
        <v>74</v>
      </c>
      <c r="O32" s="200"/>
      <c r="P32" s="200"/>
      <c r="Q32" s="200"/>
      <c r="R32" s="200"/>
      <c r="S32" s="200"/>
    </row>
    <row r="33" spans="2:22" ht="17.100000000000001" customHeight="1" thickBot="1" x14ac:dyDescent="0.3">
      <c r="B33" s="102" t="s">
        <v>71</v>
      </c>
      <c r="C33" s="100">
        <f>$C$27/4</f>
        <v>49.5</v>
      </c>
      <c r="D33" s="117" t="s">
        <v>84</v>
      </c>
      <c r="E33" s="22"/>
      <c r="F33" s="240"/>
      <c r="G33" s="204"/>
      <c r="H33" s="22"/>
      <c r="I33" s="251"/>
      <c r="J33" s="253"/>
      <c r="K33" s="22"/>
      <c r="L33" s="251"/>
      <c r="M33" s="253"/>
      <c r="N33" s="199"/>
      <c r="O33" s="200"/>
      <c r="P33" s="200"/>
      <c r="Q33" s="200"/>
      <c r="R33" s="200"/>
      <c r="S33" s="200"/>
    </row>
    <row r="34" spans="2:22" ht="17.100000000000001" customHeight="1" x14ac:dyDescent="0.25">
      <c r="B34" s="228" t="s">
        <v>63</v>
      </c>
      <c r="C34" s="212">
        <f>IF($Q$24="TYP",0.5,4)</f>
        <v>0.5</v>
      </c>
      <c r="D34" s="214" t="s">
        <v>66</v>
      </c>
      <c r="E34" s="22"/>
      <c r="F34" s="201">
        <f>$C$23*C34*$C$24</f>
        <v>5.28</v>
      </c>
      <c r="G34" s="203" t="s">
        <v>13</v>
      </c>
      <c r="H34" s="22"/>
      <c r="I34" s="216">
        <f>F34</f>
        <v>5.28</v>
      </c>
      <c r="J34" s="203" t="s">
        <v>13</v>
      </c>
      <c r="K34" s="22"/>
      <c r="L34" s="216">
        <f>C34*$M$26*$C$24</f>
        <v>0.32</v>
      </c>
      <c r="M34" s="203" t="s">
        <v>13</v>
      </c>
      <c r="N34" s="199" t="s">
        <v>74</v>
      </c>
      <c r="O34" s="200"/>
      <c r="P34" s="200"/>
      <c r="Q34" s="200"/>
      <c r="R34" s="200"/>
      <c r="S34" s="200"/>
    </row>
    <row r="35" spans="2:22" ht="17.100000000000001" customHeight="1" thickBot="1" x14ac:dyDescent="0.3">
      <c r="B35" s="241"/>
      <c r="C35" s="213"/>
      <c r="D35" s="215"/>
      <c r="E35" s="22"/>
      <c r="F35" s="202"/>
      <c r="G35" s="204"/>
      <c r="H35" s="22"/>
      <c r="I35" s="217"/>
      <c r="J35" s="204"/>
      <c r="K35" s="22"/>
      <c r="L35" s="217"/>
      <c r="M35" s="204"/>
      <c r="N35" s="199"/>
      <c r="O35" s="200"/>
      <c r="P35" s="200"/>
      <c r="Q35" s="200"/>
      <c r="R35" s="200"/>
      <c r="S35" s="200"/>
    </row>
    <row r="36" spans="2:22" ht="17.100000000000001" customHeight="1" thickBot="1" x14ac:dyDescent="0.3">
      <c r="B36" s="12" t="s">
        <v>69</v>
      </c>
      <c r="C36" s="148">
        <f>IF($Q$24="TYP",3,12)</f>
        <v>3</v>
      </c>
      <c r="D36" s="24" t="s">
        <v>13</v>
      </c>
      <c r="E36" s="22"/>
      <c r="F36" s="105">
        <f>C36</f>
        <v>3</v>
      </c>
      <c r="G36" s="60" t="s">
        <v>13</v>
      </c>
      <c r="H36" s="22"/>
      <c r="I36" s="105">
        <f>F36</f>
        <v>3</v>
      </c>
      <c r="J36" s="60" t="s">
        <v>13</v>
      </c>
      <c r="K36" s="22"/>
      <c r="L36" s="113">
        <f>F36</f>
        <v>3</v>
      </c>
      <c r="M36" s="60" t="s">
        <v>13</v>
      </c>
      <c r="N36" s="88"/>
      <c r="O36" s="88"/>
      <c r="P36" s="88"/>
      <c r="Q36" s="88"/>
      <c r="R36" s="7"/>
      <c r="S36" s="7"/>
      <c r="T36" s="109"/>
      <c r="U36" s="109"/>
      <c r="V36" s="109"/>
    </row>
    <row r="37" spans="2:22" ht="17.100000000000001" customHeight="1" thickBot="1" x14ac:dyDescent="0.3">
      <c r="B37" s="153" t="s">
        <v>95</v>
      </c>
      <c r="C37" s="149">
        <v>150</v>
      </c>
      <c r="D37" s="152" t="s">
        <v>73</v>
      </c>
      <c r="E37" s="22"/>
      <c r="F37" s="147"/>
      <c r="G37" s="146"/>
      <c r="H37" s="22"/>
      <c r="I37" s="145"/>
      <c r="J37" s="146"/>
      <c r="K37" s="22"/>
      <c r="L37" s="145"/>
      <c r="M37" s="146"/>
      <c r="N37" s="118"/>
      <c r="O37" s="119"/>
      <c r="P37" s="119"/>
      <c r="Q37" s="119"/>
      <c r="R37" s="119"/>
      <c r="S37" s="119"/>
      <c r="T37" s="10"/>
      <c r="U37" s="10"/>
      <c r="V37" s="10"/>
    </row>
    <row r="38" spans="2:22" ht="17.100000000000001" customHeight="1" x14ac:dyDescent="0.25">
      <c r="B38" s="14" t="s">
        <v>88</v>
      </c>
      <c r="C38" s="124">
        <v>200</v>
      </c>
      <c r="D38" s="121" t="s">
        <v>73</v>
      </c>
      <c r="E38" s="22"/>
      <c r="F38" s="205">
        <f>1000000*(C39)*(C38*0.000000001)/$C$26</f>
        <v>0</v>
      </c>
      <c r="G38" s="209" t="s">
        <v>13</v>
      </c>
      <c r="H38" s="22"/>
      <c r="I38" s="207">
        <v>0</v>
      </c>
      <c r="J38" s="209" t="s">
        <v>13</v>
      </c>
      <c r="K38" s="22"/>
      <c r="L38" s="207">
        <v>0</v>
      </c>
      <c r="M38" s="209" t="s">
        <v>13</v>
      </c>
      <c r="N38" s="199" t="s">
        <v>101</v>
      </c>
      <c r="O38" s="200"/>
      <c r="P38" s="200"/>
      <c r="Q38" s="200"/>
      <c r="R38" s="200"/>
      <c r="S38" s="200"/>
      <c r="T38" s="109"/>
      <c r="U38" s="109"/>
      <c r="V38" s="109"/>
    </row>
    <row r="39" spans="2:22" ht="17.100000000000001" customHeight="1" thickBot="1" x14ac:dyDescent="0.3">
      <c r="B39" s="114" t="s">
        <v>100</v>
      </c>
      <c r="C39" s="115">
        <v>0</v>
      </c>
      <c r="D39" s="120" t="s">
        <v>75</v>
      </c>
      <c r="E39" s="22"/>
      <c r="F39" s="206"/>
      <c r="G39" s="210"/>
      <c r="H39" s="22"/>
      <c r="I39" s="208"/>
      <c r="J39" s="211"/>
      <c r="K39" s="22"/>
      <c r="L39" s="208"/>
      <c r="M39" s="211"/>
      <c r="N39" s="199"/>
      <c r="O39" s="200"/>
      <c r="P39" s="200"/>
      <c r="Q39" s="200"/>
      <c r="R39" s="200"/>
      <c r="S39" s="200"/>
      <c r="T39" s="10"/>
      <c r="U39" s="10"/>
      <c r="V39" s="10"/>
    </row>
    <row r="40" spans="2:22" ht="17.100000000000001" customHeight="1" x14ac:dyDescent="0.25">
      <c r="B40" s="14" t="s">
        <v>93</v>
      </c>
      <c r="C40" s="124">
        <f>IF($Q$24="TYP",C37*C41*C39/3.3,IF($Q$24="MAX",C37*C41*C39/0.5,"ERROR"))</f>
        <v>0</v>
      </c>
      <c r="D40" s="121" t="s">
        <v>91</v>
      </c>
      <c r="E40" s="22"/>
      <c r="F40" s="201">
        <f>1000000*C40*0.000000001/$C$26</f>
        <v>0</v>
      </c>
      <c r="G40" s="203" t="s">
        <v>13</v>
      </c>
      <c r="H40" s="22"/>
      <c r="I40" s="201">
        <v>0</v>
      </c>
      <c r="J40" s="203" t="s">
        <v>13</v>
      </c>
      <c r="K40" s="22"/>
      <c r="L40" s="207">
        <v>0</v>
      </c>
      <c r="M40" s="209" t="s">
        <v>13</v>
      </c>
      <c r="N40" s="199" t="s">
        <v>102</v>
      </c>
      <c r="O40" s="200"/>
      <c r="P40" s="200"/>
      <c r="Q40" s="200"/>
      <c r="R40" s="200"/>
      <c r="S40" s="200"/>
      <c r="T40" s="10"/>
      <c r="U40" s="10"/>
      <c r="V40" s="10"/>
    </row>
    <row r="41" spans="2:22" ht="17.100000000000001" customHeight="1" thickBot="1" x14ac:dyDescent="0.3">
      <c r="B41" s="114" t="s">
        <v>90</v>
      </c>
      <c r="C41" s="141">
        <v>0.01</v>
      </c>
      <c r="D41" s="120" t="s">
        <v>12</v>
      </c>
      <c r="E41" s="22"/>
      <c r="F41" s="202"/>
      <c r="G41" s="204"/>
      <c r="H41" s="22"/>
      <c r="I41" s="202"/>
      <c r="J41" s="204"/>
      <c r="K41" s="22"/>
      <c r="L41" s="208"/>
      <c r="M41" s="211"/>
      <c r="N41" s="199"/>
      <c r="O41" s="200"/>
      <c r="P41" s="200"/>
      <c r="Q41" s="200"/>
      <c r="R41" s="200"/>
      <c r="S41" s="200"/>
      <c r="T41" s="10"/>
      <c r="U41" s="10"/>
      <c r="V41" s="10"/>
    </row>
    <row r="42" spans="2:22" ht="17.100000000000001" customHeight="1" x14ac:dyDescent="0.25">
      <c r="B42" s="142" t="s">
        <v>94</v>
      </c>
      <c r="C42" s="124">
        <f>IF($Q$24="TYP",(C43/1000000)*C39*C37/3.3,IF($Q$24="MAX",(C43/1000000)*C39*C37/0.5,"ERROR"))</f>
        <v>0</v>
      </c>
      <c r="D42" s="122" t="s">
        <v>65</v>
      </c>
      <c r="E42" s="22"/>
      <c r="F42" s="201">
        <f>1000000*$C$23*C42*0.000000001/$C$26</f>
        <v>0</v>
      </c>
      <c r="G42" s="203" t="s">
        <v>13</v>
      </c>
      <c r="H42" s="22"/>
      <c r="I42" s="201">
        <f>F42</f>
        <v>0</v>
      </c>
      <c r="J42" s="203" t="s">
        <v>13</v>
      </c>
      <c r="K42" s="22"/>
      <c r="L42" s="257">
        <f>1000000*$M$26*C42*0.000000001/$C$26</f>
        <v>0</v>
      </c>
      <c r="M42" s="209" t="s">
        <v>13</v>
      </c>
      <c r="N42" s="199" t="s">
        <v>103</v>
      </c>
      <c r="O42" s="200"/>
      <c r="P42" s="200"/>
      <c r="Q42" s="200"/>
      <c r="R42" s="200"/>
      <c r="S42" s="200"/>
      <c r="T42" s="10"/>
      <c r="U42" s="10"/>
      <c r="V42" s="10"/>
    </row>
    <row r="43" spans="2:22" ht="17.100000000000001" customHeight="1" thickBot="1" x14ac:dyDescent="0.3">
      <c r="B43" s="143" t="s">
        <v>92</v>
      </c>
      <c r="C43" s="144">
        <v>50</v>
      </c>
      <c r="D43" s="123" t="s">
        <v>66</v>
      </c>
      <c r="E43" s="22"/>
      <c r="F43" s="202"/>
      <c r="G43" s="204"/>
      <c r="H43" s="22"/>
      <c r="I43" s="202"/>
      <c r="J43" s="204"/>
      <c r="K43" s="22"/>
      <c r="L43" s="258"/>
      <c r="M43" s="211"/>
      <c r="N43" s="199"/>
      <c r="O43" s="200"/>
      <c r="P43" s="200"/>
      <c r="Q43" s="200"/>
      <c r="R43" s="200"/>
      <c r="S43" s="200"/>
      <c r="T43" s="10"/>
      <c r="U43" s="10"/>
      <c r="V43" s="10"/>
    </row>
    <row r="44" spans="2:22" ht="17.100000000000001" customHeight="1" thickBot="1" x14ac:dyDescent="0.3">
      <c r="B44" s="142" t="s">
        <v>105</v>
      </c>
      <c r="C44" s="132">
        <f>50/165</f>
        <v>0.30303030303030304</v>
      </c>
      <c r="D44" s="133" t="s">
        <v>97</v>
      </c>
      <c r="E44" s="22"/>
      <c r="F44" s="104">
        <f>1000000*($C$23*C44*0.000000001*C39)/$C$26</f>
        <v>0</v>
      </c>
      <c r="G44" s="136" t="s">
        <v>13</v>
      </c>
      <c r="H44" s="22"/>
      <c r="I44" s="129">
        <f>F44</f>
        <v>0</v>
      </c>
      <c r="J44" s="130" t="s">
        <v>13</v>
      </c>
      <c r="K44" s="22"/>
      <c r="L44" s="104">
        <f>1000000*($M$26*C44*0.000000001*C39)/$C$26</f>
        <v>0</v>
      </c>
      <c r="M44" s="136" t="s">
        <v>13</v>
      </c>
      <c r="N44" s="199" t="s">
        <v>104</v>
      </c>
      <c r="O44" s="200"/>
      <c r="P44" s="200"/>
      <c r="Q44" s="200"/>
      <c r="R44" s="200"/>
      <c r="S44" s="200"/>
      <c r="T44" s="10"/>
      <c r="U44" s="10"/>
      <c r="V44" s="10"/>
    </row>
    <row r="45" spans="2:22" ht="17.100000000000001" customHeight="1" thickBot="1" x14ac:dyDescent="0.3">
      <c r="B45" s="268" t="s">
        <v>98</v>
      </c>
      <c r="C45" s="269"/>
      <c r="D45" s="270"/>
      <c r="E45" s="22"/>
      <c r="F45" s="147"/>
      <c r="G45" s="146"/>
      <c r="H45" s="22"/>
      <c r="I45" s="160"/>
      <c r="J45" s="161"/>
      <c r="K45" s="22"/>
      <c r="L45" s="160"/>
      <c r="M45" s="161"/>
      <c r="N45" s="118"/>
      <c r="O45" s="119"/>
      <c r="P45" s="119"/>
      <c r="Q45" s="119"/>
      <c r="R45" s="119"/>
      <c r="S45" s="119"/>
      <c r="T45" s="10"/>
      <c r="U45" s="10"/>
      <c r="V45" s="10"/>
    </row>
    <row r="46" spans="2:22" ht="15" customHeight="1" x14ac:dyDescent="0.25">
      <c r="B46" s="242" t="s">
        <v>110</v>
      </c>
      <c r="C46" s="243"/>
      <c r="D46" s="244"/>
      <c r="E46" s="88"/>
      <c r="F46" s="164">
        <f>SQRT(SUMSQ(F27:F45))</f>
        <v>36.008755518068099</v>
      </c>
      <c r="G46" s="128" t="s">
        <v>13</v>
      </c>
      <c r="H46" s="162"/>
      <c r="I46" s="164">
        <f>SQRT(SUMSQ(I27:I45))</f>
        <v>8.405692552724835</v>
      </c>
      <c r="J46" s="128" t="s">
        <v>13</v>
      </c>
      <c r="K46" s="162"/>
      <c r="L46" s="164">
        <f>SQRT(SUMSQ(L27:L45))</f>
        <v>3.1066931439931045</v>
      </c>
      <c r="M46" s="128" t="s">
        <v>13</v>
      </c>
      <c r="N46" s="110"/>
      <c r="O46" s="110"/>
      <c r="P46" s="110"/>
      <c r="Q46" s="110"/>
      <c r="R46" s="110"/>
      <c r="S46" s="110"/>
    </row>
    <row r="47" spans="2:22" ht="15" customHeight="1" x14ac:dyDescent="0.25">
      <c r="B47" s="245"/>
      <c r="C47" s="246"/>
      <c r="D47" s="247"/>
      <c r="E47" s="88"/>
      <c r="F47" s="174">
        <f>1000000000*F46*$C$26/1000000</f>
        <v>11252.736099396283</v>
      </c>
      <c r="G47" s="158" t="s">
        <v>89</v>
      </c>
      <c r="H47" s="162"/>
      <c r="I47" s="174">
        <f>1000000000*I46*$C$26/1000000</f>
        <v>2626.7789227265112</v>
      </c>
      <c r="J47" s="158" t="s">
        <v>89</v>
      </c>
      <c r="K47" s="162"/>
      <c r="L47" s="174">
        <f>1000000000*L46*$C$26/1000000</f>
        <v>970.84160749784519</v>
      </c>
      <c r="M47" s="158" t="s">
        <v>89</v>
      </c>
      <c r="N47" s="110"/>
      <c r="O47" s="110"/>
      <c r="P47" s="110"/>
      <c r="Q47" s="110"/>
      <c r="R47" s="110"/>
      <c r="S47" s="110"/>
    </row>
    <row r="48" spans="2:22" ht="15" customHeight="1" thickBot="1" x14ac:dyDescent="0.3">
      <c r="B48" s="248"/>
      <c r="C48" s="249"/>
      <c r="D48" s="250"/>
      <c r="E48" s="88"/>
      <c r="F48" s="182">
        <f>(1000000000*SQRT(SUMSQ(F30,F34))*$C$26/1000000)/$C$23</f>
        <v>14.81988212672422</v>
      </c>
      <c r="G48" s="184" t="s">
        <v>65</v>
      </c>
      <c r="H48" s="162"/>
      <c r="I48" s="182">
        <f>(1000000000*SQRT(SUMSQ(I30,I34))*$C$26/1000000)/$C$23</f>
        <v>14.81988212672422</v>
      </c>
      <c r="J48" s="184" t="s">
        <v>65</v>
      </c>
      <c r="K48" s="162"/>
      <c r="L48" s="182">
        <f>(1000000000*SQRT(SUMSQ(L30,L34))*$C$26/1000000)/$C$23</f>
        <v>0.89817467434692233</v>
      </c>
      <c r="M48" s="184" t="s">
        <v>65</v>
      </c>
      <c r="N48" s="177"/>
      <c r="O48" s="177"/>
      <c r="P48" s="177"/>
      <c r="Q48" s="177"/>
      <c r="R48" s="177"/>
      <c r="S48" s="177"/>
    </row>
    <row r="49" spans="2:19" ht="15" customHeight="1" x14ac:dyDescent="0.25">
      <c r="B49" s="259" t="s">
        <v>111</v>
      </c>
      <c r="C49" s="260"/>
      <c r="D49" s="261"/>
      <c r="E49" s="116"/>
      <c r="F49" s="164">
        <f>SQRT(SUMSQ(F27/SQRT(2),F32:F44))</f>
        <v>6.1708285083933427</v>
      </c>
      <c r="G49" s="179" t="s">
        <v>13</v>
      </c>
      <c r="H49" s="163"/>
      <c r="I49" s="164">
        <f>SQRT(SUMSQ(I27/SQRT(2),I32:I44))</f>
        <v>6.0892714877014447</v>
      </c>
      <c r="J49" s="179" t="s">
        <v>13</v>
      </c>
      <c r="K49" s="163"/>
      <c r="L49" s="164">
        <f>SQRT(SUMSQ(L27/SQRT(2),L32:L44))</f>
        <v>3.0501192191345177</v>
      </c>
      <c r="M49" s="179" t="s">
        <v>13</v>
      </c>
      <c r="N49" s="159"/>
      <c r="O49" s="137"/>
      <c r="P49" s="137"/>
      <c r="Q49" s="139"/>
      <c r="R49" s="138"/>
      <c r="S49" s="7"/>
    </row>
    <row r="50" spans="2:19" ht="15" customHeight="1" x14ac:dyDescent="0.25">
      <c r="B50" s="262"/>
      <c r="C50" s="263"/>
      <c r="D50" s="264"/>
      <c r="E50" s="140"/>
      <c r="F50" s="178">
        <f>1000000000*F49*$C$26/1000000</f>
        <v>1928.3839088729196</v>
      </c>
      <c r="G50" s="180" t="s">
        <v>89</v>
      </c>
      <c r="H50" s="163"/>
      <c r="I50" s="178">
        <f>1000000000*I49*$C$26/1000000</f>
        <v>1902.8973399067015</v>
      </c>
      <c r="J50" s="180" t="s">
        <v>89</v>
      </c>
      <c r="K50" s="163"/>
      <c r="L50" s="178">
        <f>1000000000*L49*$C$26/1000000</f>
        <v>953.16225597953678</v>
      </c>
      <c r="M50" s="180" t="s">
        <v>89</v>
      </c>
      <c r="N50" s="159"/>
      <c r="O50" s="88"/>
      <c r="P50" s="88"/>
      <c r="Q50" s="88"/>
      <c r="R50" s="138"/>
    </row>
    <row r="51" spans="2:19" ht="15" customHeight="1" thickBot="1" x14ac:dyDescent="0.3">
      <c r="B51" s="265"/>
      <c r="C51" s="266"/>
      <c r="D51" s="267"/>
      <c r="F51" s="182">
        <f>(1000000000*F34*$C$26/1000000)/$C$23</f>
        <v>10</v>
      </c>
      <c r="G51" s="181" t="s">
        <v>65</v>
      </c>
      <c r="I51" s="182">
        <f>(1000000000*I34*$C$26/1000000)/$C$23</f>
        <v>10</v>
      </c>
      <c r="J51" s="181" t="s">
        <v>65</v>
      </c>
      <c r="L51" s="182">
        <f>(1000000000*L34*$C$26/1000000)/$C$23</f>
        <v>0.60606060606060608</v>
      </c>
      <c r="M51" s="181" t="s">
        <v>65</v>
      </c>
      <c r="N51" s="9"/>
      <c r="O51" s="9"/>
      <c r="P51" s="9"/>
      <c r="Q51" s="9"/>
    </row>
    <row r="52" spans="2:19" ht="15" customHeight="1" x14ac:dyDescent="0.25">
      <c r="G52" s="9"/>
      <c r="N52" s="9"/>
      <c r="O52" s="9"/>
      <c r="P52" s="9"/>
      <c r="Q52" s="9"/>
    </row>
  </sheetData>
  <mergeCells count="74">
    <mergeCell ref="B49:D51"/>
    <mergeCell ref="N44:S44"/>
    <mergeCell ref="B45:D45"/>
    <mergeCell ref="N30:S31"/>
    <mergeCell ref="O24:P24"/>
    <mergeCell ref="P25:S25"/>
    <mergeCell ref="P26:S27"/>
    <mergeCell ref="N28:O29"/>
    <mergeCell ref="Q24:R24"/>
    <mergeCell ref="M40:M41"/>
    <mergeCell ref="M42:M43"/>
    <mergeCell ref="L32:L33"/>
    <mergeCell ref="M32:M33"/>
    <mergeCell ref="M34:M35"/>
    <mergeCell ref="M30:M31"/>
    <mergeCell ref="L30:L31"/>
    <mergeCell ref="J34:J35"/>
    <mergeCell ref="J42:J43"/>
    <mergeCell ref="L40:L41"/>
    <mergeCell ref="L42:L43"/>
    <mergeCell ref="L34:L35"/>
    <mergeCell ref="B34:B35"/>
    <mergeCell ref="L38:L39"/>
    <mergeCell ref="B46:D48"/>
    <mergeCell ref="I26:J26"/>
    <mergeCell ref="F28:F29"/>
    <mergeCell ref="G28:G29"/>
    <mergeCell ref="I28:I29"/>
    <mergeCell ref="J28:J29"/>
    <mergeCell ref="F26:G26"/>
    <mergeCell ref="I32:I33"/>
    <mergeCell ref="J32:J33"/>
    <mergeCell ref="C30:C31"/>
    <mergeCell ref="D30:D31"/>
    <mergeCell ref="G30:G31"/>
    <mergeCell ref="I30:I31"/>
    <mergeCell ref="J30:J31"/>
    <mergeCell ref="M38:M39"/>
    <mergeCell ref="B2:D2"/>
    <mergeCell ref="B16:B17"/>
    <mergeCell ref="C13:D13"/>
    <mergeCell ref="C14:D14"/>
    <mergeCell ref="F30:F31"/>
    <mergeCell ref="B30:B31"/>
    <mergeCell ref="B25:M25"/>
    <mergeCell ref="L28:L29"/>
    <mergeCell ref="M28:M29"/>
    <mergeCell ref="B10:D10"/>
    <mergeCell ref="B22:S22"/>
    <mergeCell ref="B18:B19"/>
    <mergeCell ref="E18:H19"/>
    <mergeCell ref="F32:F33"/>
    <mergeCell ref="G32:G33"/>
    <mergeCell ref="C34:C35"/>
    <mergeCell ref="D34:D35"/>
    <mergeCell ref="F34:F35"/>
    <mergeCell ref="G34:G35"/>
    <mergeCell ref="I34:I35"/>
    <mergeCell ref="N32:S33"/>
    <mergeCell ref="N34:S35"/>
    <mergeCell ref="F40:F41"/>
    <mergeCell ref="G40:G41"/>
    <mergeCell ref="F42:F43"/>
    <mergeCell ref="G42:G43"/>
    <mergeCell ref="N38:S39"/>
    <mergeCell ref="I40:I41"/>
    <mergeCell ref="J40:J41"/>
    <mergeCell ref="I42:I43"/>
    <mergeCell ref="N40:S41"/>
    <mergeCell ref="N42:S43"/>
    <mergeCell ref="F38:F39"/>
    <mergeCell ref="I38:I39"/>
    <mergeCell ref="G38:G39"/>
    <mergeCell ref="J38:J39"/>
  </mergeCells>
  <conditionalFormatting sqref="C3">
    <cfRule type="cellIs" dxfId="0" priority="38" operator="greaterThan">
      <formula>#REF!+5.25</formula>
    </cfRule>
  </conditionalFormatting>
  <dataValidations disablePrompts="1" count="5">
    <dataValidation type="decimal" showInputMessage="1" showErrorMessage="1" errorTitle="Positive Analog Power Supply" error="Value out of range:_x000a_(AVSS + 2.7V to AVSS + 5.25V)." promptTitle="Positive Analog Power Supply" prompt="Min: AVSS + 2.7V_x000a_Max: AVSS + 5.25V" sqref="C3">
      <formula1>C4+2.7</formula1>
      <formula2>C4+5.25</formula2>
    </dataValidation>
    <dataValidation type="list" allowBlank="1" showInputMessage="1" showErrorMessage="1" errorTitle="PGA Gain Setting" error="Not a valid PGA gain." promptTitle="Select PGA Gain Setting" prompt="1, 2, 4, 8, 16, 32, 64, 128" sqref="C5">
      <formula1>"1, 2, 4, 8, 16, 32"</formula1>
    </dataValidation>
    <dataValidation type="decimal" showInputMessage="1" showErrorMessage="1" errorTitle="Negative Analog Power Supply" error="Value out of range (0V to -2.5V)." promptTitle="Negative Analog Power Supply" prompt="Min: -0.25V_x000a_Max: 0V" sqref="C4">
      <formula1>-2.5</formula1>
      <formula2>0</formula2>
    </dataValidation>
    <dataValidation type="list" allowBlank="1" showErrorMessage="1" errorTitle="PGA Gain Setting" error="Not a valid PGA gain." sqref="Q24">
      <formula1>"TYP, MAX"</formula1>
    </dataValidation>
    <dataValidation type="list" allowBlank="1" showErrorMessage="1" errorTitle="PGA Gain Setting" error="Not a valid PGA gain." sqref="G5">
      <formula1>"Yes, No"</formula1>
    </dataValidation>
  </dataValidations>
  <pageMargins left="0.25" right="0.25" top="0.75" bottom="0.75" header="0.3" footer="0.3"/>
  <pageSetup orientation="portrait" r:id="rId1"/>
  <ignoredErrors>
    <ignoredError sqref="L30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'ADS126x Noise Table'!$B$4:$B$19</xm:f>
          </x14:formula1>
          <xm:sqref>C13</xm:sqref>
        </x14:dataValidation>
        <x14:dataValidation type="list" allowBlank="1" showInputMessage="1" showErrorMessage="1">
          <x14:formula1>
            <xm:f>'ADS126x Noise Table'!$C$4:$C$8</xm:f>
          </x14:formula1>
          <xm:sqref>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workbookViewId="0">
      <selection activeCell="B2" sqref="B2:C2"/>
    </sheetView>
  </sheetViews>
  <sheetFormatPr defaultRowHeight="15" x14ac:dyDescent="0.25"/>
  <cols>
    <col min="2" max="2" width="17" customWidth="1"/>
    <col min="3" max="3" width="13.7109375" customWidth="1"/>
    <col min="4" max="4" width="9.5703125" bestFit="1" customWidth="1"/>
    <col min="5" max="5" width="17.85546875" customWidth="1"/>
    <col min="6" max="6" width="12" customWidth="1"/>
    <col min="14" max="14" width="10.5703125" customWidth="1"/>
    <col min="15" max="15" width="10.28515625" customWidth="1"/>
    <col min="21" max="21" width="8.140625" customWidth="1"/>
    <col min="22" max="24" width="16.140625" customWidth="1"/>
  </cols>
  <sheetData>
    <row r="1" spans="2:20" ht="15.75" thickBot="1" x14ac:dyDescent="0.3">
      <c r="F1" s="28"/>
      <c r="G1" s="28"/>
      <c r="H1" s="28"/>
      <c r="I1" s="28"/>
      <c r="J1" s="28"/>
      <c r="K1" s="28"/>
      <c r="L1" s="28"/>
    </row>
    <row r="2" spans="2:20" ht="15.75" thickBot="1" x14ac:dyDescent="0.3">
      <c r="B2" s="286" t="s">
        <v>113</v>
      </c>
      <c r="C2" s="287"/>
      <c r="E2" s="288" t="s">
        <v>112</v>
      </c>
      <c r="F2" s="289"/>
      <c r="G2" s="283" t="s">
        <v>40</v>
      </c>
      <c r="H2" s="284"/>
      <c r="I2" s="284"/>
      <c r="J2" s="284"/>
      <c r="K2" s="284"/>
      <c r="L2" s="285"/>
      <c r="N2" s="278" t="s">
        <v>47</v>
      </c>
      <c r="O2" s="280" t="s">
        <v>48</v>
      </c>
      <c r="P2" s="281"/>
      <c r="Q2" s="281"/>
      <c r="R2" s="281"/>
      <c r="S2" s="281"/>
      <c r="T2" s="282"/>
    </row>
    <row r="3" spans="2:20" ht="15.75" thickBot="1" x14ac:dyDescent="0.3">
      <c r="B3" s="54" t="s">
        <v>41</v>
      </c>
      <c r="C3" s="87" t="s">
        <v>42</v>
      </c>
      <c r="E3" s="29" t="s">
        <v>39</v>
      </c>
      <c r="F3" s="49" t="s">
        <v>38</v>
      </c>
      <c r="G3" s="48">
        <v>1</v>
      </c>
      <c r="H3" s="47">
        <v>2</v>
      </c>
      <c r="I3" s="47">
        <v>4</v>
      </c>
      <c r="J3" s="47">
        <v>8</v>
      </c>
      <c r="K3" s="47">
        <v>16</v>
      </c>
      <c r="L3" s="46">
        <v>32</v>
      </c>
      <c r="N3" s="279"/>
      <c r="O3" s="27" t="s">
        <v>24</v>
      </c>
      <c r="P3" s="65" t="s">
        <v>23</v>
      </c>
      <c r="Q3" s="65" t="s">
        <v>22</v>
      </c>
      <c r="R3" s="65" t="s">
        <v>20</v>
      </c>
      <c r="S3" s="65" t="s">
        <v>16</v>
      </c>
      <c r="T3" s="66" t="s">
        <v>33</v>
      </c>
    </row>
    <row r="4" spans="2:20" x14ac:dyDescent="0.25">
      <c r="B4" s="85" t="s">
        <v>37</v>
      </c>
      <c r="C4" s="53" t="s">
        <v>33</v>
      </c>
      <c r="E4" s="45" t="s">
        <v>37</v>
      </c>
      <c r="F4" s="44" t="s">
        <v>33</v>
      </c>
      <c r="G4" s="43">
        <v>0.14499999999999999</v>
      </c>
      <c r="H4" s="42">
        <v>7.0999999999999994E-2</v>
      </c>
      <c r="I4" s="42">
        <v>3.7999999999999999E-2</v>
      </c>
      <c r="J4" s="42">
        <v>2.3E-2</v>
      </c>
      <c r="K4" s="42">
        <v>1.4E-2</v>
      </c>
      <c r="L4" s="41">
        <v>1.0999999999999999E-2</v>
      </c>
      <c r="N4" s="67">
        <v>2.5</v>
      </c>
      <c r="O4" s="68">
        <v>5.21</v>
      </c>
      <c r="P4" s="69">
        <v>1.25</v>
      </c>
      <c r="Q4" s="69">
        <v>0.96</v>
      </c>
      <c r="R4" s="69">
        <v>0.83</v>
      </c>
      <c r="S4" s="70" t="s">
        <v>49</v>
      </c>
      <c r="T4" s="71">
        <v>6.28</v>
      </c>
    </row>
    <row r="5" spans="2:20" x14ac:dyDescent="0.25">
      <c r="B5" s="86" t="s">
        <v>36</v>
      </c>
      <c r="C5" s="51" t="s">
        <v>24</v>
      </c>
      <c r="E5" s="40" t="s">
        <v>37</v>
      </c>
      <c r="F5" s="39" t="s">
        <v>24</v>
      </c>
      <c r="G5" s="38">
        <v>0.121</v>
      </c>
      <c r="H5" s="37">
        <v>5.8000000000000003E-2</v>
      </c>
      <c r="I5" s="37">
        <v>3.3000000000000002E-2</v>
      </c>
      <c r="J5" s="37">
        <v>1.7999999999999999E-2</v>
      </c>
      <c r="K5" s="37">
        <v>1.2E-2</v>
      </c>
      <c r="L5" s="36">
        <v>8.0000000000000002E-3</v>
      </c>
      <c r="N5" s="72">
        <v>5</v>
      </c>
      <c r="O5" s="73">
        <v>9.73</v>
      </c>
      <c r="P5" s="74">
        <v>2.5</v>
      </c>
      <c r="Q5" s="74">
        <v>1.92</v>
      </c>
      <c r="R5" s="74">
        <v>1.67</v>
      </c>
      <c r="S5" s="75" t="s">
        <v>49</v>
      </c>
      <c r="T5" s="76">
        <v>10.72</v>
      </c>
    </row>
    <row r="6" spans="2:20" x14ac:dyDescent="0.25">
      <c r="B6" s="86" t="s">
        <v>35</v>
      </c>
      <c r="C6" s="51" t="s">
        <v>23</v>
      </c>
      <c r="E6" s="40" t="s">
        <v>37</v>
      </c>
      <c r="F6" s="39" t="s">
        <v>23</v>
      </c>
      <c r="G6" s="38">
        <v>0.10100000000000001</v>
      </c>
      <c r="H6" s="37">
        <v>5.5E-2</v>
      </c>
      <c r="I6" s="37">
        <v>2.5000000000000001E-2</v>
      </c>
      <c r="J6" s="37">
        <v>1.4999999999999999E-2</v>
      </c>
      <c r="K6" s="37">
        <v>0.01</v>
      </c>
      <c r="L6" s="36">
        <v>7.0000000000000001E-3</v>
      </c>
      <c r="N6" s="72">
        <v>10</v>
      </c>
      <c r="O6" s="73">
        <v>18.05</v>
      </c>
      <c r="P6" s="74">
        <v>5</v>
      </c>
      <c r="Q6" s="74">
        <v>3.85</v>
      </c>
      <c r="R6" s="74">
        <v>3.33</v>
      </c>
      <c r="S6" s="75" t="s">
        <v>49</v>
      </c>
      <c r="T6" s="76">
        <v>17.79</v>
      </c>
    </row>
    <row r="7" spans="2:20" x14ac:dyDescent="0.25">
      <c r="B7" s="86" t="s">
        <v>34</v>
      </c>
      <c r="C7" s="51" t="s">
        <v>22</v>
      </c>
      <c r="E7" s="40" t="s">
        <v>37</v>
      </c>
      <c r="F7" s="39" t="s">
        <v>22</v>
      </c>
      <c r="G7" s="38">
        <v>0.08</v>
      </c>
      <c r="H7" s="37">
        <v>4.5999999999999999E-2</v>
      </c>
      <c r="I7" s="37">
        <v>2.5999999999999999E-2</v>
      </c>
      <c r="J7" s="37">
        <v>1.2999999999999999E-2</v>
      </c>
      <c r="K7" s="37">
        <v>8.0000000000000002E-3</v>
      </c>
      <c r="L7" s="36">
        <v>6.0000000000000001E-3</v>
      </c>
      <c r="N7" s="77">
        <v>16.666666666666668</v>
      </c>
      <c r="O7" s="73">
        <v>28.37</v>
      </c>
      <c r="P7" s="74">
        <v>8.33</v>
      </c>
      <c r="Q7" s="74">
        <v>6.41</v>
      </c>
      <c r="R7" s="74">
        <v>5.56</v>
      </c>
      <c r="S7" s="75" t="s">
        <v>49</v>
      </c>
      <c r="T7" s="76" t="s">
        <v>49</v>
      </c>
    </row>
    <row r="8" spans="2:20" x14ac:dyDescent="0.25">
      <c r="B8" s="86" t="s">
        <v>32</v>
      </c>
      <c r="C8" s="51" t="s">
        <v>20</v>
      </c>
      <c r="E8" s="40" t="s">
        <v>37</v>
      </c>
      <c r="F8" s="39" t="s">
        <v>20</v>
      </c>
      <c r="G8" s="38">
        <v>0.08</v>
      </c>
      <c r="H8" s="37">
        <v>4.2999999999999997E-2</v>
      </c>
      <c r="I8" s="37">
        <v>0.02</v>
      </c>
      <c r="J8" s="37">
        <v>1.2999999999999999E-2</v>
      </c>
      <c r="K8" s="37">
        <v>8.0000000000000002E-3</v>
      </c>
      <c r="L8" s="36">
        <v>7.0000000000000001E-3</v>
      </c>
      <c r="N8" s="72">
        <v>20</v>
      </c>
      <c r="O8" s="73">
        <v>33.299999999999997</v>
      </c>
      <c r="P8" s="74">
        <v>10</v>
      </c>
      <c r="Q8" s="74">
        <v>7.69</v>
      </c>
      <c r="R8" s="74">
        <v>6.67</v>
      </c>
      <c r="S8" s="75" t="s">
        <v>49</v>
      </c>
      <c r="T8" s="78">
        <v>28.4</v>
      </c>
    </row>
    <row r="9" spans="2:20" ht="15.75" thickBot="1" x14ac:dyDescent="0.3">
      <c r="B9" s="86" t="s">
        <v>31</v>
      </c>
      <c r="C9" s="52" t="s">
        <v>16</v>
      </c>
      <c r="E9" s="40" t="s">
        <v>36</v>
      </c>
      <c r="F9" s="39" t="s">
        <v>33</v>
      </c>
      <c r="G9" s="38">
        <v>0.20599999999999999</v>
      </c>
      <c r="H9" s="37">
        <v>9.8000000000000004E-2</v>
      </c>
      <c r="I9" s="37">
        <v>5.3999999999999999E-2</v>
      </c>
      <c r="J9" s="37">
        <v>2.8000000000000001E-2</v>
      </c>
      <c r="K9" s="37">
        <v>0.02</v>
      </c>
      <c r="L9" s="36">
        <v>1.4999999999999999E-2</v>
      </c>
      <c r="N9" s="72">
        <v>50</v>
      </c>
      <c r="O9" s="73">
        <v>73.959999999999994</v>
      </c>
      <c r="P9" s="74">
        <v>24.96</v>
      </c>
      <c r="Q9" s="74">
        <v>19.23</v>
      </c>
      <c r="R9" s="74">
        <v>16.670000000000002</v>
      </c>
      <c r="S9" s="75" t="s">
        <v>49</v>
      </c>
      <c r="T9" s="76" t="s">
        <v>49</v>
      </c>
    </row>
    <row r="10" spans="2:20" x14ac:dyDescent="0.25">
      <c r="B10" s="51" t="s">
        <v>30</v>
      </c>
      <c r="C10" s="28"/>
      <c r="E10" s="40" t="s">
        <v>36</v>
      </c>
      <c r="F10" s="39" t="s">
        <v>24</v>
      </c>
      <c r="G10" s="38">
        <v>0.161</v>
      </c>
      <c r="H10" s="37">
        <v>0.09</v>
      </c>
      <c r="I10" s="37">
        <v>4.7E-2</v>
      </c>
      <c r="J10" s="37">
        <v>2.5999999999999999E-2</v>
      </c>
      <c r="K10" s="37">
        <v>1.7000000000000001E-2</v>
      </c>
      <c r="L10" s="36">
        <v>1.2E-2</v>
      </c>
      <c r="N10" s="72">
        <v>60</v>
      </c>
      <c r="O10" s="73">
        <v>86.54</v>
      </c>
      <c r="P10" s="74">
        <v>29.95</v>
      </c>
      <c r="Q10" s="74">
        <v>23.08</v>
      </c>
      <c r="R10" s="74">
        <v>20</v>
      </c>
      <c r="S10" s="75" t="s">
        <v>49</v>
      </c>
      <c r="T10" s="76" t="s">
        <v>49</v>
      </c>
    </row>
    <row r="11" spans="2:20" x14ac:dyDescent="0.25">
      <c r="B11" s="51" t="s">
        <v>29</v>
      </c>
      <c r="C11" s="28"/>
      <c r="E11" s="40" t="s">
        <v>36</v>
      </c>
      <c r="F11" s="39" t="s">
        <v>23</v>
      </c>
      <c r="G11" s="38">
        <v>0.14599999999999999</v>
      </c>
      <c r="H11" s="37">
        <v>6.9000000000000006E-2</v>
      </c>
      <c r="I11" s="37">
        <v>3.7999999999999999E-2</v>
      </c>
      <c r="J11" s="37">
        <v>2.1000000000000001E-2</v>
      </c>
      <c r="K11" s="37">
        <v>1.2999999999999999E-2</v>
      </c>
      <c r="L11" s="36">
        <v>1.0999999999999999E-2</v>
      </c>
      <c r="N11" s="72">
        <v>100</v>
      </c>
      <c r="O11" s="73">
        <v>133.88</v>
      </c>
      <c r="P11" s="74">
        <v>49.86</v>
      </c>
      <c r="Q11" s="74">
        <v>38.46</v>
      </c>
      <c r="R11" s="74">
        <v>33.33</v>
      </c>
      <c r="S11" s="75" t="s">
        <v>49</v>
      </c>
      <c r="T11" s="76" t="s">
        <v>49</v>
      </c>
    </row>
    <row r="12" spans="2:20" x14ac:dyDescent="0.25">
      <c r="B12" s="51" t="s">
        <v>28</v>
      </c>
      <c r="C12" s="28"/>
      <c r="E12" s="40" t="s">
        <v>36</v>
      </c>
      <c r="F12" s="39" t="s">
        <v>22</v>
      </c>
      <c r="G12" s="38">
        <v>0.128</v>
      </c>
      <c r="H12" s="37">
        <v>6.7000000000000004E-2</v>
      </c>
      <c r="I12" s="37">
        <v>3.3000000000000002E-2</v>
      </c>
      <c r="J12" s="37">
        <v>1.9E-2</v>
      </c>
      <c r="K12" s="37">
        <v>1.2E-2</v>
      </c>
      <c r="L12" s="36">
        <v>0.01</v>
      </c>
      <c r="N12" s="72">
        <v>400</v>
      </c>
      <c r="O12" s="73">
        <v>423.16</v>
      </c>
      <c r="P12" s="74">
        <v>197.75</v>
      </c>
      <c r="Q12" s="74">
        <v>153.79</v>
      </c>
      <c r="R12" s="74">
        <v>133.32</v>
      </c>
      <c r="S12" s="75" t="s">
        <v>49</v>
      </c>
      <c r="T12" s="76" t="s">
        <v>49</v>
      </c>
    </row>
    <row r="13" spans="2:20" x14ac:dyDescent="0.25">
      <c r="B13" s="51" t="s">
        <v>27</v>
      </c>
      <c r="C13" s="28"/>
      <c r="E13" s="40" t="s">
        <v>36</v>
      </c>
      <c r="F13" s="39" t="s">
        <v>20</v>
      </c>
      <c r="G13" s="38">
        <v>0.122</v>
      </c>
      <c r="H13" s="37">
        <v>6.3E-2</v>
      </c>
      <c r="I13" s="37">
        <v>0.03</v>
      </c>
      <c r="J13" s="37">
        <v>1.7000000000000001E-2</v>
      </c>
      <c r="K13" s="37">
        <v>1.0999999999999999E-2</v>
      </c>
      <c r="L13" s="36">
        <v>8.0000000000000002E-3</v>
      </c>
      <c r="N13" s="72">
        <v>1200</v>
      </c>
      <c r="O13" s="79">
        <v>1002.1</v>
      </c>
      <c r="P13" s="74">
        <v>579.71</v>
      </c>
      <c r="Q13" s="74">
        <v>459.94</v>
      </c>
      <c r="R13" s="74">
        <v>399.66</v>
      </c>
      <c r="S13" s="75" t="s">
        <v>49</v>
      </c>
      <c r="T13" s="76" t="s">
        <v>49</v>
      </c>
    </row>
    <row r="14" spans="2:20" x14ac:dyDescent="0.25">
      <c r="B14" s="51" t="s">
        <v>26</v>
      </c>
      <c r="C14" s="28"/>
      <c r="E14" s="40" t="s">
        <v>35</v>
      </c>
      <c r="F14" s="39" t="s">
        <v>33</v>
      </c>
      <c r="G14" s="38">
        <v>0.28399999999999997</v>
      </c>
      <c r="H14" s="37">
        <v>0.14199999999999999</v>
      </c>
      <c r="I14" s="37">
        <v>7.6999999999999999E-2</v>
      </c>
      <c r="J14" s="37">
        <v>4.1000000000000002E-2</v>
      </c>
      <c r="K14" s="37">
        <v>2.7E-2</v>
      </c>
      <c r="L14" s="36">
        <v>2.3E-2</v>
      </c>
      <c r="N14" s="72">
        <v>2400</v>
      </c>
      <c r="O14" s="79">
        <v>1666</v>
      </c>
      <c r="P14" s="80">
        <v>1118.9000000000001</v>
      </c>
      <c r="Q14" s="74">
        <v>912.02</v>
      </c>
      <c r="R14" s="74">
        <v>797.32</v>
      </c>
      <c r="S14" s="75" t="s">
        <v>49</v>
      </c>
      <c r="T14" s="76" t="s">
        <v>49</v>
      </c>
    </row>
    <row r="15" spans="2:20" x14ac:dyDescent="0.25">
      <c r="B15" s="51" t="s">
        <v>25</v>
      </c>
      <c r="C15" s="28"/>
      <c r="E15" s="40" t="s">
        <v>35</v>
      </c>
      <c r="F15" s="39" t="s">
        <v>24</v>
      </c>
      <c r="G15" s="38">
        <v>0.22900000000000001</v>
      </c>
      <c r="H15" s="37">
        <v>0.123</v>
      </c>
      <c r="I15" s="37">
        <v>0.06</v>
      </c>
      <c r="J15" s="37">
        <v>3.5000000000000003E-2</v>
      </c>
      <c r="K15" s="37">
        <v>2.3E-2</v>
      </c>
      <c r="L15" s="36">
        <v>1.7999999999999999E-2</v>
      </c>
      <c r="N15" s="72">
        <v>4800</v>
      </c>
      <c r="O15" s="73">
        <v>2647.51</v>
      </c>
      <c r="P15" s="74">
        <v>2075.41</v>
      </c>
      <c r="Q15" s="74">
        <v>1773.81</v>
      </c>
      <c r="R15" s="74">
        <v>1579.25</v>
      </c>
      <c r="S15" s="75" t="s">
        <v>49</v>
      </c>
      <c r="T15" s="76" t="s">
        <v>49</v>
      </c>
    </row>
    <row r="16" spans="2:20" x14ac:dyDescent="0.25">
      <c r="B16" s="51" t="s">
        <v>21</v>
      </c>
      <c r="C16" s="28"/>
      <c r="E16" s="40" t="s">
        <v>35</v>
      </c>
      <c r="F16" s="39" t="s">
        <v>23</v>
      </c>
      <c r="G16" s="38">
        <v>0.193</v>
      </c>
      <c r="H16" s="37">
        <v>9.2999999999999999E-2</v>
      </c>
      <c r="I16" s="37">
        <v>4.8000000000000001E-2</v>
      </c>
      <c r="J16" s="37">
        <v>2.8000000000000001E-2</v>
      </c>
      <c r="K16" s="37">
        <v>1.9E-2</v>
      </c>
      <c r="L16" s="36">
        <v>1.6E-2</v>
      </c>
      <c r="N16" s="72">
        <v>7200</v>
      </c>
      <c r="O16" s="73">
        <v>3350.48</v>
      </c>
      <c r="P16" s="74">
        <v>2869.69</v>
      </c>
      <c r="Q16" s="74">
        <v>2557.96</v>
      </c>
      <c r="R16" s="74">
        <v>2332.4</v>
      </c>
      <c r="S16" s="75" t="s">
        <v>49</v>
      </c>
      <c r="T16" s="76" t="s">
        <v>49</v>
      </c>
    </row>
    <row r="17" spans="2:20" x14ac:dyDescent="0.25">
      <c r="B17" s="51" t="s">
        <v>19</v>
      </c>
      <c r="C17" s="28"/>
      <c r="E17" s="40" t="s">
        <v>35</v>
      </c>
      <c r="F17" s="39" t="s">
        <v>22</v>
      </c>
      <c r="G17" s="38">
        <v>0.17599999999999999</v>
      </c>
      <c r="H17" s="37">
        <v>8.7999999999999995E-2</v>
      </c>
      <c r="I17" s="37">
        <v>4.2999999999999997E-2</v>
      </c>
      <c r="J17" s="37">
        <v>2.8000000000000001E-2</v>
      </c>
      <c r="K17" s="37">
        <v>1.7999999999999999E-2</v>
      </c>
      <c r="L17" s="36">
        <v>1.4E-2</v>
      </c>
      <c r="N17" s="72">
        <v>14400</v>
      </c>
      <c r="O17" s="73" t="s">
        <v>49</v>
      </c>
      <c r="P17" s="74" t="s">
        <v>49</v>
      </c>
      <c r="Q17" s="74" t="s">
        <v>49</v>
      </c>
      <c r="R17" s="74" t="s">
        <v>49</v>
      </c>
      <c r="S17" s="74">
        <v>4317.7700000000004</v>
      </c>
      <c r="T17" s="76" t="s">
        <v>49</v>
      </c>
    </row>
    <row r="18" spans="2:20" x14ac:dyDescent="0.25">
      <c r="B18" s="51" t="s">
        <v>18</v>
      </c>
      <c r="C18" s="28"/>
      <c r="E18" s="40" t="s">
        <v>35</v>
      </c>
      <c r="F18" s="39" t="s">
        <v>20</v>
      </c>
      <c r="G18" s="38">
        <v>0.16400000000000001</v>
      </c>
      <c r="H18" s="37">
        <v>7.5999999999999998E-2</v>
      </c>
      <c r="I18" s="37">
        <v>0.04</v>
      </c>
      <c r="J18" s="37">
        <v>2.4E-2</v>
      </c>
      <c r="K18" s="37">
        <v>1.6E-2</v>
      </c>
      <c r="L18" s="36">
        <v>1.2999999999999999E-2</v>
      </c>
      <c r="N18" s="72">
        <v>19200</v>
      </c>
      <c r="O18" s="73" t="s">
        <v>49</v>
      </c>
      <c r="P18" s="74" t="s">
        <v>49</v>
      </c>
      <c r="Q18" s="74" t="s">
        <v>49</v>
      </c>
      <c r="R18" s="74" t="s">
        <v>49</v>
      </c>
      <c r="S18" s="74">
        <v>5757.53</v>
      </c>
      <c r="T18" s="76" t="s">
        <v>49</v>
      </c>
    </row>
    <row r="19" spans="2:20" ht="15.75" thickBot="1" x14ac:dyDescent="0.3">
      <c r="B19" s="52" t="s">
        <v>17</v>
      </c>
      <c r="C19" s="28"/>
      <c r="E19" s="40" t="s">
        <v>34</v>
      </c>
      <c r="F19" s="39" t="s">
        <v>24</v>
      </c>
      <c r="G19" s="38">
        <v>0.30599999999999999</v>
      </c>
      <c r="H19" s="37">
        <v>0.14699999999999999</v>
      </c>
      <c r="I19" s="37">
        <v>7.6999999999999999E-2</v>
      </c>
      <c r="J19" s="37">
        <v>4.3999999999999997E-2</v>
      </c>
      <c r="K19" s="37">
        <v>0.03</v>
      </c>
      <c r="L19" s="36">
        <v>2.4E-2</v>
      </c>
      <c r="N19" s="81">
        <v>38400</v>
      </c>
      <c r="O19" s="82" t="s">
        <v>49</v>
      </c>
      <c r="P19" s="83" t="s">
        <v>49</v>
      </c>
      <c r="Q19" s="83" t="s">
        <v>49</v>
      </c>
      <c r="R19" s="83" t="s">
        <v>49</v>
      </c>
      <c r="S19" s="83">
        <v>11521.75</v>
      </c>
      <c r="T19" s="84" t="s">
        <v>49</v>
      </c>
    </row>
    <row r="20" spans="2:20" x14ac:dyDescent="0.25">
      <c r="E20" s="40" t="s">
        <v>34</v>
      </c>
      <c r="F20" s="39" t="s">
        <v>23</v>
      </c>
      <c r="G20" s="38">
        <v>0.248</v>
      </c>
      <c r="H20" s="37">
        <v>0.122</v>
      </c>
      <c r="I20" s="37">
        <v>6.8000000000000005E-2</v>
      </c>
      <c r="J20" s="37">
        <v>3.6999999999999998E-2</v>
      </c>
      <c r="K20" s="37">
        <v>2.4E-2</v>
      </c>
      <c r="L20" s="36">
        <v>0.02</v>
      </c>
      <c r="N20" t="s">
        <v>50</v>
      </c>
    </row>
    <row r="21" spans="2:20" x14ac:dyDescent="0.25">
      <c r="E21" s="40" t="s">
        <v>34</v>
      </c>
      <c r="F21" s="39" t="s">
        <v>22</v>
      </c>
      <c r="G21" s="38">
        <v>0.216</v>
      </c>
      <c r="H21" s="37">
        <v>0.12</v>
      </c>
      <c r="I21" s="37">
        <v>0.06</v>
      </c>
      <c r="J21" s="37">
        <v>3.3000000000000002E-2</v>
      </c>
      <c r="K21" s="37">
        <v>2.1999999999999999E-2</v>
      </c>
      <c r="L21" s="36">
        <v>1.7000000000000001E-2</v>
      </c>
    </row>
    <row r="22" spans="2:20" x14ac:dyDescent="0.25">
      <c r="E22" s="40" t="s">
        <v>34</v>
      </c>
      <c r="F22" s="39" t="s">
        <v>20</v>
      </c>
      <c r="G22" s="38">
        <v>0.214</v>
      </c>
      <c r="H22" s="37">
        <v>0.10100000000000001</v>
      </c>
      <c r="I22" s="37">
        <v>5.3999999999999999E-2</v>
      </c>
      <c r="J22" s="37">
        <v>3.1E-2</v>
      </c>
      <c r="K22" s="37">
        <v>2.1999999999999999E-2</v>
      </c>
      <c r="L22" s="36">
        <v>1.6E-2</v>
      </c>
    </row>
    <row r="23" spans="2:20" x14ac:dyDescent="0.25">
      <c r="E23" s="40" t="s">
        <v>32</v>
      </c>
      <c r="F23" s="39" t="s">
        <v>33</v>
      </c>
      <c r="G23" s="38">
        <v>0.39300000000000002</v>
      </c>
      <c r="H23" s="37">
        <v>0.191</v>
      </c>
      <c r="I23" s="37">
        <v>0.104</v>
      </c>
      <c r="J23" s="37">
        <v>5.7000000000000002E-2</v>
      </c>
      <c r="K23" s="37">
        <v>3.9E-2</v>
      </c>
      <c r="L23" s="36">
        <v>0.03</v>
      </c>
    </row>
    <row r="24" spans="2:20" x14ac:dyDescent="0.25">
      <c r="E24" s="40" t="s">
        <v>32</v>
      </c>
      <c r="F24" s="39" t="s">
        <v>24</v>
      </c>
      <c r="G24" s="38">
        <v>0.33600000000000002</v>
      </c>
      <c r="H24" s="37">
        <v>0.16700000000000001</v>
      </c>
      <c r="I24" s="37">
        <v>8.5000000000000006E-2</v>
      </c>
      <c r="J24" s="37">
        <v>4.9000000000000002E-2</v>
      </c>
      <c r="K24" s="37">
        <v>3.3000000000000002E-2</v>
      </c>
      <c r="L24" s="36">
        <v>2.5999999999999999E-2</v>
      </c>
    </row>
    <row r="25" spans="2:20" x14ac:dyDescent="0.25">
      <c r="E25" s="40" t="s">
        <v>32</v>
      </c>
      <c r="F25" s="39" t="s">
        <v>23</v>
      </c>
      <c r="G25" s="38">
        <v>0.27</v>
      </c>
      <c r="H25" s="37">
        <v>0.13600000000000001</v>
      </c>
      <c r="I25" s="37">
        <v>7.0000000000000007E-2</v>
      </c>
      <c r="J25" s="37">
        <v>3.9E-2</v>
      </c>
      <c r="K25" s="37">
        <v>2.8000000000000001E-2</v>
      </c>
      <c r="L25" s="36">
        <v>2.1000000000000001E-2</v>
      </c>
    </row>
    <row r="26" spans="2:20" x14ac:dyDescent="0.25">
      <c r="E26" s="40" t="s">
        <v>32</v>
      </c>
      <c r="F26" s="39" t="s">
        <v>22</v>
      </c>
      <c r="G26" s="38">
        <v>0.23699999999999999</v>
      </c>
      <c r="H26" s="37">
        <v>0.124</v>
      </c>
      <c r="I26" s="37">
        <v>6.7000000000000004E-2</v>
      </c>
      <c r="J26" s="37">
        <v>3.5000000000000003E-2</v>
      </c>
      <c r="K26" s="37">
        <v>2.4E-2</v>
      </c>
      <c r="L26" s="36">
        <v>0.02</v>
      </c>
    </row>
    <row r="27" spans="2:20" x14ac:dyDescent="0.25">
      <c r="E27" s="40" t="s">
        <v>32</v>
      </c>
      <c r="F27" s="39" t="s">
        <v>20</v>
      </c>
      <c r="G27" s="38">
        <v>0.22900000000000001</v>
      </c>
      <c r="H27" s="37">
        <v>0.113</v>
      </c>
      <c r="I27" s="37">
        <v>0.06</v>
      </c>
      <c r="J27" s="37">
        <v>3.4000000000000002E-2</v>
      </c>
      <c r="K27" s="37">
        <v>2.1999999999999999E-2</v>
      </c>
      <c r="L27" s="36">
        <v>1.7000000000000001E-2</v>
      </c>
    </row>
    <row r="28" spans="2:20" x14ac:dyDescent="0.25">
      <c r="E28" s="40" t="s">
        <v>31</v>
      </c>
      <c r="F28" s="39" t="s">
        <v>24</v>
      </c>
      <c r="G28" s="38">
        <v>0.51400000000000001</v>
      </c>
      <c r="H28" s="37">
        <v>0.255</v>
      </c>
      <c r="I28" s="37">
        <v>0.14000000000000001</v>
      </c>
      <c r="J28" s="37">
        <v>7.6999999999999999E-2</v>
      </c>
      <c r="K28" s="37">
        <v>5.0999999999999997E-2</v>
      </c>
      <c r="L28" s="36">
        <v>4.2000000000000003E-2</v>
      </c>
    </row>
    <row r="29" spans="2:20" x14ac:dyDescent="0.25">
      <c r="E29" s="40" t="s">
        <v>31</v>
      </c>
      <c r="F29" s="39" t="s">
        <v>23</v>
      </c>
      <c r="G29" s="38">
        <v>0.42599999999999999</v>
      </c>
      <c r="H29" s="37">
        <v>0.20899999999999999</v>
      </c>
      <c r="I29" s="37">
        <v>0.108</v>
      </c>
      <c r="J29" s="37">
        <v>6.4000000000000001E-2</v>
      </c>
      <c r="K29" s="37">
        <v>4.2000000000000003E-2</v>
      </c>
      <c r="L29" s="36">
        <v>3.3000000000000002E-2</v>
      </c>
    </row>
    <row r="30" spans="2:20" x14ac:dyDescent="0.25">
      <c r="E30" s="40" t="s">
        <v>31</v>
      </c>
      <c r="F30" s="39" t="s">
        <v>22</v>
      </c>
      <c r="G30" s="38">
        <v>0.38900000000000001</v>
      </c>
      <c r="H30" s="37">
        <v>0.19600000000000001</v>
      </c>
      <c r="I30" s="37">
        <v>0.104</v>
      </c>
      <c r="J30" s="37">
        <v>5.7000000000000002E-2</v>
      </c>
      <c r="K30" s="37">
        <v>3.7999999999999999E-2</v>
      </c>
      <c r="L30" s="36">
        <v>0.03</v>
      </c>
    </row>
    <row r="31" spans="2:20" x14ac:dyDescent="0.25">
      <c r="E31" s="40" t="s">
        <v>31</v>
      </c>
      <c r="F31" s="39" t="s">
        <v>20</v>
      </c>
      <c r="G31" s="38">
        <v>0.35799999999999998</v>
      </c>
      <c r="H31" s="37">
        <v>0.17499999999999999</v>
      </c>
      <c r="I31" s="37">
        <v>9.6000000000000002E-2</v>
      </c>
      <c r="J31" s="37">
        <v>5.5E-2</v>
      </c>
      <c r="K31" s="37">
        <v>3.5999999999999997E-2</v>
      </c>
      <c r="L31" s="36">
        <v>2.8000000000000001E-2</v>
      </c>
    </row>
    <row r="32" spans="2:20" x14ac:dyDescent="0.25">
      <c r="E32" s="40" t="s">
        <v>30</v>
      </c>
      <c r="F32" s="39" t="s">
        <v>24</v>
      </c>
      <c r="G32" s="38">
        <v>0.55800000000000005</v>
      </c>
      <c r="H32" s="37">
        <v>0.28499999999999998</v>
      </c>
      <c r="I32" s="37">
        <v>0.151</v>
      </c>
      <c r="J32" s="37">
        <v>8.5000000000000006E-2</v>
      </c>
      <c r="K32" s="37">
        <v>5.5E-2</v>
      </c>
      <c r="L32" s="36">
        <v>4.4999999999999998E-2</v>
      </c>
    </row>
    <row r="33" spans="5:12" ht="15.75" customHeight="1" x14ac:dyDescent="0.25">
      <c r="E33" s="40" t="s">
        <v>30</v>
      </c>
      <c r="F33" s="39" t="s">
        <v>23</v>
      </c>
      <c r="G33" s="38">
        <v>0.46500000000000002</v>
      </c>
      <c r="H33" s="37">
        <v>0.23499999999999999</v>
      </c>
      <c r="I33" s="37">
        <v>0.121</v>
      </c>
      <c r="J33" s="37">
        <v>6.8000000000000005E-2</v>
      </c>
      <c r="K33" s="37">
        <v>4.5999999999999999E-2</v>
      </c>
      <c r="L33" s="36">
        <v>3.5999999999999997E-2</v>
      </c>
    </row>
    <row r="34" spans="5:12" x14ac:dyDescent="0.25">
      <c r="E34" s="40" t="s">
        <v>30</v>
      </c>
      <c r="F34" s="39" t="s">
        <v>22</v>
      </c>
      <c r="G34" s="38">
        <v>0.41399999999999998</v>
      </c>
      <c r="H34" s="37">
        <v>0.20799999999999999</v>
      </c>
      <c r="I34" s="37">
        <v>0.112</v>
      </c>
      <c r="J34" s="37">
        <v>6.4000000000000001E-2</v>
      </c>
      <c r="K34" s="37">
        <v>4.2000000000000003E-2</v>
      </c>
      <c r="L34" s="36">
        <v>3.4000000000000002E-2</v>
      </c>
    </row>
    <row r="35" spans="5:12" x14ac:dyDescent="0.25">
      <c r="E35" s="40" t="s">
        <v>30</v>
      </c>
      <c r="F35" s="39" t="s">
        <v>20</v>
      </c>
      <c r="G35" s="38">
        <v>0.38300000000000001</v>
      </c>
      <c r="H35" s="37">
        <v>0.19500000000000001</v>
      </c>
      <c r="I35" s="37">
        <v>0.105</v>
      </c>
      <c r="J35" s="37">
        <v>5.8999999999999997E-2</v>
      </c>
      <c r="K35" s="37">
        <v>0.04</v>
      </c>
      <c r="L35" s="36">
        <v>3.1E-2</v>
      </c>
    </row>
    <row r="36" spans="5:12" x14ac:dyDescent="0.25">
      <c r="E36" s="40" t="s">
        <v>29</v>
      </c>
      <c r="F36" s="39" t="s">
        <v>24</v>
      </c>
      <c r="G36" s="38">
        <v>0.73399999999999999</v>
      </c>
      <c r="H36" s="37">
        <v>0.36099999999999999</v>
      </c>
      <c r="I36" s="37">
        <v>0.192</v>
      </c>
      <c r="J36" s="37">
        <v>0.108</v>
      </c>
      <c r="K36" s="37">
        <v>7.0999999999999994E-2</v>
      </c>
      <c r="L36" s="36">
        <v>5.8000000000000003E-2</v>
      </c>
    </row>
    <row r="37" spans="5:12" x14ac:dyDescent="0.25">
      <c r="E37" s="40" t="s">
        <v>29</v>
      </c>
      <c r="F37" s="39" t="s">
        <v>23</v>
      </c>
      <c r="G37" s="38">
        <v>0.60399999999999998</v>
      </c>
      <c r="H37" s="37">
        <v>0.30499999999999999</v>
      </c>
      <c r="I37" s="37">
        <v>0.156</v>
      </c>
      <c r="J37" s="37">
        <v>8.7999999999999995E-2</v>
      </c>
      <c r="K37" s="37">
        <v>5.8999999999999997E-2</v>
      </c>
      <c r="L37" s="36">
        <v>4.8000000000000001E-2</v>
      </c>
    </row>
    <row r="38" spans="5:12" x14ac:dyDescent="0.25">
      <c r="E38" s="40" t="s">
        <v>29</v>
      </c>
      <c r="F38" s="39" t="s">
        <v>22</v>
      </c>
      <c r="G38" s="38">
        <v>0.53100000000000003</v>
      </c>
      <c r="H38" s="37">
        <v>0.27700000000000002</v>
      </c>
      <c r="I38" s="37">
        <v>0.14299999999999999</v>
      </c>
      <c r="J38" s="37">
        <v>8.1000000000000003E-2</v>
      </c>
      <c r="K38" s="37">
        <v>5.3999999999999999E-2</v>
      </c>
      <c r="L38" s="36">
        <v>4.2999999999999997E-2</v>
      </c>
    </row>
    <row r="39" spans="5:12" x14ac:dyDescent="0.25">
      <c r="E39" s="40" t="s">
        <v>29</v>
      </c>
      <c r="F39" s="39" t="s">
        <v>20</v>
      </c>
      <c r="G39" s="38">
        <v>0.51100000000000001</v>
      </c>
      <c r="H39" s="37">
        <v>0.255</v>
      </c>
      <c r="I39" s="37">
        <v>0.13400000000000001</v>
      </c>
      <c r="J39" s="37">
        <v>7.5999999999999998E-2</v>
      </c>
      <c r="K39" s="37">
        <v>0.05</v>
      </c>
      <c r="L39" s="36">
        <v>4.1000000000000002E-2</v>
      </c>
    </row>
    <row r="40" spans="5:12" x14ac:dyDescent="0.25">
      <c r="E40" s="40" t="s">
        <v>28</v>
      </c>
      <c r="F40" s="39" t="s">
        <v>24</v>
      </c>
      <c r="G40" s="38">
        <v>1.4379999999999999</v>
      </c>
      <c r="H40" s="37">
        <v>0.73399999999999999</v>
      </c>
      <c r="I40" s="37">
        <v>0.38</v>
      </c>
      <c r="J40" s="37">
        <v>0.215</v>
      </c>
      <c r="K40" s="37">
        <v>0.14299999999999999</v>
      </c>
      <c r="L40" s="36">
        <v>0.11600000000000001</v>
      </c>
    </row>
    <row r="41" spans="5:12" x14ac:dyDescent="0.25">
      <c r="E41" s="40" t="s">
        <v>28</v>
      </c>
      <c r="F41" s="39" t="s">
        <v>23</v>
      </c>
      <c r="G41" s="38">
        <v>1.1859999999999999</v>
      </c>
      <c r="H41" s="37">
        <v>0.60699999999999998</v>
      </c>
      <c r="I41" s="37">
        <v>0.313</v>
      </c>
      <c r="J41" s="37">
        <v>0.17799999999999999</v>
      </c>
      <c r="K41" s="37">
        <v>0.11899999999999999</v>
      </c>
      <c r="L41" s="36">
        <v>9.5000000000000001E-2</v>
      </c>
    </row>
    <row r="42" spans="5:12" x14ac:dyDescent="0.25">
      <c r="E42" s="40" t="s">
        <v>28</v>
      </c>
      <c r="F42" s="39" t="s">
        <v>22</v>
      </c>
      <c r="G42" s="38">
        <v>1.0720000000000001</v>
      </c>
      <c r="H42" s="37">
        <v>0.55000000000000004</v>
      </c>
      <c r="I42" s="37">
        <v>0.28499999999999998</v>
      </c>
      <c r="J42" s="37">
        <v>0.161</v>
      </c>
      <c r="K42" s="37">
        <v>0.107</v>
      </c>
      <c r="L42" s="36">
        <v>8.6999999999999994E-2</v>
      </c>
    </row>
    <row r="43" spans="5:12" x14ac:dyDescent="0.25">
      <c r="E43" s="40" t="s">
        <v>28</v>
      </c>
      <c r="F43" s="39" t="s">
        <v>20</v>
      </c>
      <c r="G43" s="38">
        <v>0.995</v>
      </c>
      <c r="H43" s="37">
        <v>0.50800000000000001</v>
      </c>
      <c r="I43" s="37">
        <v>0.26600000000000001</v>
      </c>
      <c r="J43" s="37">
        <v>0.151</v>
      </c>
      <c r="K43" s="37">
        <v>0.10100000000000001</v>
      </c>
      <c r="L43" s="36">
        <v>8.1000000000000003E-2</v>
      </c>
    </row>
    <row r="44" spans="5:12" x14ac:dyDescent="0.25">
      <c r="E44" s="40" t="s">
        <v>27</v>
      </c>
      <c r="F44" s="39" t="s">
        <v>24</v>
      </c>
      <c r="G44" s="38">
        <v>2.4510000000000001</v>
      </c>
      <c r="H44" s="37">
        <v>1.254</v>
      </c>
      <c r="I44" s="37">
        <v>0.65100000000000002</v>
      </c>
      <c r="J44" s="37">
        <v>0.36799999999999999</v>
      </c>
      <c r="K44" s="37">
        <v>0.24399999999999999</v>
      </c>
      <c r="L44" s="36">
        <v>0.19700000000000001</v>
      </c>
    </row>
    <row r="45" spans="5:12" x14ac:dyDescent="0.25">
      <c r="E45" s="40" t="s">
        <v>27</v>
      </c>
      <c r="F45" s="39" t="s">
        <v>23</v>
      </c>
      <c r="G45" s="38">
        <v>2.0379999999999998</v>
      </c>
      <c r="H45" s="37">
        <v>1.0369999999999999</v>
      </c>
      <c r="I45" s="37">
        <v>0.54500000000000004</v>
      </c>
      <c r="J45" s="37">
        <v>0.309</v>
      </c>
      <c r="K45" s="37">
        <v>0.20499999999999999</v>
      </c>
      <c r="L45" s="36">
        <v>0.16500000000000001</v>
      </c>
    </row>
    <row r="46" spans="5:12" x14ac:dyDescent="0.25">
      <c r="E46" s="40" t="s">
        <v>27</v>
      </c>
      <c r="F46" s="39" t="s">
        <v>22</v>
      </c>
      <c r="G46" s="38">
        <v>1.8580000000000001</v>
      </c>
      <c r="H46" s="37">
        <v>0.96</v>
      </c>
      <c r="I46" s="37">
        <v>0.49399999999999999</v>
      </c>
      <c r="J46" s="37">
        <v>0.28100000000000003</v>
      </c>
      <c r="K46" s="37">
        <v>0.186</v>
      </c>
      <c r="L46" s="36">
        <v>0.14799999999999999</v>
      </c>
    </row>
    <row r="47" spans="5:12" x14ac:dyDescent="0.25">
      <c r="E47" s="40" t="s">
        <v>27</v>
      </c>
      <c r="F47" s="39" t="s">
        <v>20</v>
      </c>
      <c r="G47" s="38">
        <v>1.7430000000000001</v>
      </c>
      <c r="H47" s="37">
        <v>0.89</v>
      </c>
      <c r="I47" s="37">
        <v>0.45900000000000002</v>
      </c>
      <c r="J47" s="37">
        <v>0.26100000000000001</v>
      </c>
      <c r="K47" s="37">
        <v>0.17399999999999999</v>
      </c>
      <c r="L47" s="36">
        <v>0.13900000000000001</v>
      </c>
    </row>
    <row r="48" spans="5:12" x14ac:dyDescent="0.25">
      <c r="E48" s="40" t="s">
        <v>26</v>
      </c>
      <c r="F48" s="39" t="s">
        <v>24</v>
      </c>
      <c r="G48" s="38">
        <v>3.411</v>
      </c>
      <c r="H48" s="37">
        <v>1.724</v>
      </c>
      <c r="I48" s="37">
        <v>0.90300000000000002</v>
      </c>
      <c r="J48" s="37">
        <v>0.51</v>
      </c>
      <c r="K48" s="37">
        <v>0.33500000000000002</v>
      </c>
      <c r="L48" s="36">
        <v>0.27</v>
      </c>
    </row>
    <row r="49" spans="5:12" x14ac:dyDescent="0.25">
      <c r="E49" s="40" t="s">
        <v>26</v>
      </c>
      <c r="F49" s="39" t="s">
        <v>23</v>
      </c>
      <c r="G49" s="38">
        <v>2.87</v>
      </c>
      <c r="H49" s="37">
        <v>1.468</v>
      </c>
      <c r="I49" s="37">
        <v>0.77</v>
      </c>
      <c r="J49" s="37">
        <v>0.435</v>
      </c>
      <c r="K49" s="37">
        <v>0.28599999999999998</v>
      </c>
      <c r="L49" s="36">
        <v>0.23</v>
      </c>
    </row>
    <row r="50" spans="5:12" x14ac:dyDescent="0.25">
      <c r="E50" s="40" t="s">
        <v>26</v>
      </c>
      <c r="F50" s="39" t="s">
        <v>22</v>
      </c>
      <c r="G50" s="38">
        <v>2.6560000000000001</v>
      </c>
      <c r="H50" s="37">
        <v>1.337</v>
      </c>
      <c r="I50" s="37">
        <v>0.70499999999999996</v>
      </c>
      <c r="J50" s="37">
        <v>0.39500000000000002</v>
      </c>
      <c r="K50" s="37">
        <v>0.26200000000000001</v>
      </c>
      <c r="L50" s="36">
        <v>0.21099999999999999</v>
      </c>
    </row>
    <row r="51" spans="5:12" x14ac:dyDescent="0.25">
      <c r="E51" s="40" t="s">
        <v>26</v>
      </c>
      <c r="F51" s="39" t="s">
        <v>20</v>
      </c>
      <c r="G51" s="38">
        <v>2.4750000000000001</v>
      </c>
      <c r="H51" s="37">
        <v>1.262</v>
      </c>
      <c r="I51" s="37">
        <v>0.65700000000000003</v>
      </c>
      <c r="J51" s="37">
        <v>0.371</v>
      </c>
      <c r="K51" s="37">
        <v>0.245</v>
      </c>
      <c r="L51" s="36">
        <v>0.19800000000000001</v>
      </c>
    </row>
    <row r="52" spans="5:12" x14ac:dyDescent="0.25">
      <c r="E52" s="40" t="s">
        <v>25</v>
      </c>
      <c r="F52" s="39" t="s">
        <v>24</v>
      </c>
      <c r="G52" s="38">
        <v>4.59</v>
      </c>
      <c r="H52" s="37">
        <v>2.3290000000000002</v>
      </c>
      <c r="I52" s="37">
        <v>1.2210000000000001</v>
      </c>
      <c r="J52" s="37">
        <v>0.68200000000000005</v>
      </c>
      <c r="K52" s="37">
        <v>0.44600000000000001</v>
      </c>
      <c r="L52" s="36">
        <v>0.36099999999999999</v>
      </c>
    </row>
    <row r="53" spans="5:12" x14ac:dyDescent="0.25">
      <c r="E53" s="40" t="s">
        <v>25</v>
      </c>
      <c r="F53" s="39" t="s">
        <v>23</v>
      </c>
      <c r="G53" s="38">
        <v>4.0910000000000002</v>
      </c>
      <c r="H53" s="37">
        <v>2.0699999999999998</v>
      </c>
      <c r="I53" s="37">
        <v>1.077</v>
      </c>
      <c r="J53" s="37">
        <v>0.60599999999999998</v>
      </c>
      <c r="K53" s="37">
        <v>0.39800000000000002</v>
      </c>
      <c r="L53" s="36">
        <v>0.32100000000000001</v>
      </c>
    </row>
    <row r="54" spans="5:12" x14ac:dyDescent="0.25">
      <c r="E54" s="40" t="s">
        <v>25</v>
      </c>
      <c r="F54" s="39" t="s">
        <v>22</v>
      </c>
      <c r="G54" s="38">
        <v>3.72</v>
      </c>
      <c r="H54" s="37">
        <v>1.8939999999999999</v>
      </c>
      <c r="I54" s="37">
        <v>0.998</v>
      </c>
      <c r="J54" s="37">
        <v>0.56000000000000005</v>
      </c>
      <c r="K54" s="37">
        <v>0.36699999999999999</v>
      </c>
      <c r="L54" s="36">
        <v>0.29699999999999999</v>
      </c>
    </row>
    <row r="55" spans="5:12" x14ac:dyDescent="0.25">
      <c r="E55" s="40" t="s">
        <v>25</v>
      </c>
      <c r="F55" s="39" t="s">
        <v>20</v>
      </c>
      <c r="G55" s="38">
        <v>3.5350000000000001</v>
      </c>
      <c r="H55" s="37">
        <v>1.784</v>
      </c>
      <c r="I55" s="37">
        <v>0.92600000000000005</v>
      </c>
      <c r="J55" s="37">
        <v>0.52700000000000002</v>
      </c>
      <c r="K55" s="37">
        <v>0.34899999999999998</v>
      </c>
      <c r="L55" s="36">
        <v>0.27700000000000002</v>
      </c>
    </row>
    <row r="56" spans="5:12" x14ac:dyDescent="0.25">
      <c r="E56" s="40" t="s">
        <v>21</v>
      </c>
      <c r="F56" s="39" t="s">
        <v>24</v>
      </c>
      <c r="G56" s="38">
        <v>5.3259999999999996</v>
      </c>
      <c r="H56" s="37">
        <v>2.7090000000000001</v>
      </c>
      <c r="I56" s="37">
        <v>1.407</v>
      </c>
      <c r="J56" s="37">
        <v>0.79200000000000004</v>
      </c>
      <c r="K56" s="37">
        <v>0.51600000000000001</v>
      </c>
      <c r="L56" s="36">
        <v>0.40899999999999997</v>
      </c>
    </row>
    <row r="57" spans="5:12" x14ac:dyDescent="0.25">
      <c r="E57" s="40" t="s">
        <v>21</v>
      </c>
      <c r="F57" s="39" t="s">
        <v>23</v>
      </c>
      <c r="G57" s="38">
        <v>4.867</v>
      </c>
      <c r="H57" s="37">
        <v>2.4670000000000001</v>
      </c>
      <c r="I57" s="37">
        <v>1.28</v>
      </c>
      <c r="J57" s="37">
        <v>0.72599999999999998</v>
      </c>
      <c r="K57" s="37">
        <v>0.47199999999999998</v>
      </c>
      <c r="L57" s="36">
        <v>0.379</v>
      </c>
    </row>
    <row r="58" spans="5:12" x14ac:dyDescent="0.25">
      <c r="E58" s="40" t="s">
        <v>21</v>
      </c>
      <c r="F58" s="39" t="s">
        <v>22</v>
      </c>
      <c r="G58" s="38">
        <v>4.5670000000000002</v>
      </c>
      <c r="H58" s="37">
        <v>2.31</v>
      </c>
      <c r="I58" s="37">
        <v>1.2090000000000001</v>
      </c>
      <c r="J58" s="37">
        <v>0.68200000000000005</v>
      </c>
      <c r="K58" s="37">
        <v>0.44500000000000001</v>
      </c>
      <c r="L58" s="36">
        <v>0.35899999999999999</v>
      </c>
    </row>
    <row r="59" spans="5:12" x14ac:dyDescent="0.25">
      <c r="E59" s="40" t="s">
        <v>21</v>
      </c>
      <c r="F59" s="39" t="s">
        <v>20</v>
      </c>
      <c r="G59" s="38">
        <v>4.3650000000000002</v>
      </c>
      <c r="H59" s="37">
        <v>2.2109999999999999</v>
      </c>
      <c r="I59" s="37">
        <v>1.143</v>
      </c>
      <c r="J59" s="37">
        <v>0.64200000000000002</v>
      </c>
      <c r="K59" s="37">
        <v>0.42599999999999999</v>
      </c>
      <c r="L59" s="36">
        <v>0.34100000000000003</v>
      </c>
    </row>
    <row r="60" spans="5:12" x14ac:dyDescent="0.25">
      <c r="E60" s="40" t="s">
        <v>19</v>
      </c>
      <c r="F60" s="39" t="s">
        <v>16</v>
      </c>
      <c r="G60" s="38">
        <v>6.3769999999999998</v>
      </c>
      <c r="H60" s="37">
        <v>3.2349999999999999</v>
      </c>
      <c r="I60" s="37">
        <v>1.675</v>
      </c>
      <c r="J60" s="37">
        <v>0.92900000000000005</v>
      </c>
      <c r="K60" s="37">
        <v>0.59599999999999997</v>
      </c>
      <c r="L60" s="36">
        <v>0.46600000000000003</v>
      </c>
    </row>
    <row r="61" spans="5:12" x14ac:dyDescent="0.25">
      <c r="E61" s="40" t="s">
        <v>18</v>
      </c>
      <c r="F61" s="39" t="s">
        <v>16</v>
      </c>
      <c r="G61" s="38">
        <v>8.7200000000000006</v>
      </c>
      <c r="H61" s="37">
        <v>4.4320000000000004</v>
      </c>
      <c r="I61" s="37">
        <v>2.2850000000000001</v>
      </c>
      <c r="J61" s="37">
        <v>1.2270000000000001</v>
      </c>
      <c r="K61" s="37">
        <v>0.747</v>
      </c>
      <c r="L61" s="36">
        <v>0.55500000000000005</v>
      </c>
    </row>
    <row r="62" spans="5:12" ht="15.75" thickBot="1" x14ac:dyDescent="0.3">
      <c r="E62" s="35" t="s">
        <v>17</v>
      </c>
      <c r="F62" s="34" t="s">
        <v>16</v>
      </c>
      <c r="G62" s="33">
        <v>103.55</v>
      </c>
      <c r="H62" s="32">
        <v>51.76</v>
      </c>
      <c r="I62" s="32">
        <v>25.95</v>
      </c>
      <c r="J62" s="32">
        <v>13.02</v>
      </c>
      <c r="K62" s="32">
        <v>6.4930000000000003</v>
      </c>
      <c r="L62" s="31">
        <v>3.2759999999999998</v>
      </c>
    </row>
  </sheetData>
  <mergeCells count="5">
    <mergeCell ref="N2:N3"/>
    <mergeCell ref="O2:T2"/>
    <mergeCell ref="G2:L2"/>
    <mergeCell ref="B2:C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TIPD188 Total Error Analysis</vt:lpstr>
      <vt:lpstr>ADS126x Noise Table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a0282860</dc:creator>
  <cp:lastModifiedBy>Hall, Christopher</cp:lastModifiedBy>
  <dcterms:created xsi:type="dcterms:W3CDTF">2012-10-02T16:40:48Z</dcterms:created>
  <dcterms:modified xsi:type="dcterms:W3CDTF">2015-07-18T04:54:09Z</dcterms:modified>
</cp:coreProperties>
</file>